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ly\Documents\A - News Media Canada\Snapshot\2022\"/>
    </mc:Choice>
  </mc:AlternateContent>
  <xr:revisionPtr revIDLastSave="0" documentId="13_ncr:1_{6760F12C-3025-443A-9B13-AC1B29C8F685}" xr6:coauthVersionLast="47" xr6:coauthVersionMax="47" xr10:uidLastSave="{00000000-0000-0000-0000-000000000000}"/>
  <bookViews>
    <workbookView xWindow="-108" yWindow="-108" windowWidth="23256" windowHeight="12456" tabRatio="826" xr2:uid="{00000000-000D-0000-FFFF-FFFF00000000}"/>
  </bookViews>
  <sheets>
    <sheet name="Total Industry Overview" sheetId="13" r:id="rId1"/>
    <sheet name="Community Circulation Overview" sheetId="14" r:id="rId2"/>
    <sheet name="Community Ownership" sheetId="15" r:id="rId3"/>
    <sheet name="Community Publishing Info" sheetId="16" r:id="rId4"/>
    <sheet name="Community Ownership by Province" sheetId="17" r:id="rId5"/>
    <sheet name="Community Websites" sheetId="18" r:id="rId6"/>
    <sheet name="Daily Circulation Overview" sheetId="4" r:id="rId7"/>
    <sheet name="Daily Ownership - Titles" sheetId="5" r:id="rId8"/>
    <sheet name="Ownership - Titles by Prov" sheetId="6" r:id="rId9"/>
    <sheet name="Publishing Info" sheetId="9" r:id="rId10"/>
    <sheet name="Count of Websites by Prov" sheetId="12" r:id="rId11"/>
  </sheets>
  <definedNames>
    <definedName name="_xlnm.Print_Area" localSheetId="6">'Daily Circulation Overview'!$A$1:$I$44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4" l="1"/>
  <c r="E38" i="4"/>
  <c r="D38" i="4"/>
  <c r="C38" i="4"/>
  <c r="C55" i="14"/>
  <c r="D55" i="14"/>
  <c r="E55" i="14"/>
  <c r="B55" i="14"/>
  <c r="E6" i="9"/>
  <c r="E5" i="9"/>
  <c r="C19" i="5"/>
  <c r="B22" i="5"/>
  <c r="B23" i="5"/>
  <c r="F6" i="4"/>
  <c r="F7" i="4"/>
  <c r="F8" i="4"/>
  <c r="F9" i="4"/>
  <c r="F10" i="4"/>
  <c r="F11" i="4"/>
  <c r="F12" i="4"/>
  <c r="F13" i="4"/>
  <c r="F14" i="4"/>
  <c r="F15" i="4"/>
  <c r="F16" i="4"/>
  <c r="F17" i="4"/>
  <c r="F5" i="4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" i="17"/>
  <c r="O6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2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B29" i="15"/>
  <c r="F4" i="14"/>
  <c r="D5" i="13" l="1"/>
  <c r="D6" i="13"/>
  <c r="D7" i="13"/>
  <c r="D8" i="13"/>
  <c r="D9" i="13"/>
  <c r="D10" i="13"/>
  <c r="D11" i="13"/>
  <c r="D12" i="13"/>
  <c r="D13" i="13"/>
  <c r="D14" i="13"/>
  <c r="D15" i="13"/>
  <c r="D16" i="13"/>
  <c r="D17" i="13"/>
  <c r="C6" i="13"/>
  <c r="C7" i="13"/>
  <c r="C8" i="13"/>
  <c r="E8" i="13" s="1"/>
  <c r="C9" i="13"/>
  <c r="C10" i="13"/>
  <c r="C11" i="13"/>
  <c r="C12" i="13"/>
  <c r="C13" i="13"/>
  <c r="C14" i="13"/>
  <c r="C15" i="13"/>
  <c r="C16" i="13"/>
  <c r="E16" i="13" s="1"/>
  <c r="C17" i="13"/>
  <c r="C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5" i="13"/>
  <c r="E7" i="9"/>
  <c r="C17" i="18"/>
  <c r="B17" i="18"/>
  <c r="D10" i="18"/>
  <c r="D9" i="18"/>
  <c r="D8" i="18"/>
  <c r="D7" i="18"/>
  <c r="D6" i="18"/>
  <c r="O4" i="17"/>
  <c r="O33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8" i="17"/>
  <c r="B23" i="16"/>
  <c r="C20" i="16" s="1"/>
  <c r="E5" i="16"/>
  <c r="E4" i="16"/>
  <c r="B14" i="16"/>
  <c r="C13" i="16" s="1"/>
  <c r="C6" i="16"/>
  <c r="D6" i="16"/>
  <c r="B6" i="16"/>
  <c r="C29" i="15"/>
  <c r="D29" i="15"/>
  <c r="E4" i="15"/>
  <c r="B33" i="15"/>
  <c r="C19" i="16" l="1"/>
  <c r="E10" i="13"/>
  <c r="O29" i="17"/>
  <c r="C12" i="16"/>
  <c r="E6" i="16"/>
  <c r="C22" i="16"/>
  <c r="C11" i="16"/>
  <c r="C21" i="16"/>
  <c r="E29" i="15"/>
  <c r="E15" i="13"/>
  <c r="E7" i="13"/>
  <c r="E14" i="13"/>
  <c r="E13" i="13"/>
  <c r="D18" i="13"/>
  <c r="E17" i="13"/>
  <c r="E9" i="13"/>
  <c r="E12" i="13"/>
  <c r="E11" i="13"/>
  <c r="C18" i="13"/>
  <c r="E6" i="13"/>
  <c r="B18" i="13"/>
  <c r="E5" i="13"/>
  <c r="O58" i="17"/>
  <c r="B34" i="15"/>
  <c r="F42" i="14"/>
  <c r="F43" i="14"/>
  <c r="F44" i="14"/>
  <c r="F45" i="14"/>
  <c r="F46" i="14"/>
  <c r="F47" i="14"/>
  <c r="F48" i="14"/>
  <c r="F49" i="14"/>
  <c r="F50" i="14"/>
  <c r="F51" i="14"/>
  <c r="F52" i="14"/>
  <c r="F53" i="14"/>
  <c r="F41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22" i="14"/>
  <c r="D35" i="14"/>
  <c r="B35" i="14"/>
  <c r="C35" i="14"/>
  <c r="E17" i="14"/>
  <c r="D17" i="14"/>
  <c r="C17" i="14"/>
  <c r="B17" i="14"/>
  <c r="F5" i="14"/>
  <c r="F6" i="14"/>
  <c r="F7" i="14"/>
  <c r="F8" i="14"/>
  <c r="F9" i="14"/>
  <c r="F10" i="14"/>
  <c r="F11" i="14"/>
  <c r="F12" i="14"/>
  <c r="F13" i="14"/>
  <c r="F14" i="14"/>
  <c r="F15" i="14"/>
  <c r="F16" i="14"/>
  <c r="E54" i="14"/>
  <c r="D54" i="14"/>
  <c r="C54" i="14"/>
  <c r="B54" i="14"/>
  <c r="E35" i="14" l="1"/>
  <c r="F17" i="14"/>
  <c r="E18" i="13"/>
  <c r="F54" i="14"/>
  <c r="C19" i="6" l="1"/>
  <c r="D19" i="6"/>
  <c r="E19" i="6"/>
  <c r="F19" i="6"/>
  <c r="G19" i="6"/>
  <c r="H19" i="6"/>
  <c r="I19" i="6"/>
  <c r="J19" i="6"/>
  <c r="K19" i="6"/>
  <c r="L19" i="6"/>
  <c r="M19" i="6"/>
  <c r="N19" i="6"/>
  <c r="B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B19" i="5"/>
  <c r="O19" i="6" l="1"/>
  <c r="B24" i="9" l="1"/>
  <c r="C23" i="9" s="1"/>
  <c r="B16" i="9"/>
  <c r="C15" i="9" s="1"/>
  <c r="C22" i="9" l="1"/>
  <c r="C24" i="9" s="1"/>
  <c r="C13" i="9"/>
  <c r="C16" i="9" s="1"/>
  <c r="C14" i="9"/>
  <c r="F36" i="4" l="1"/>
  <c r="F37" i="4" s="1"/>
  <c r="E36" i="4"/>
  <c r="E37" i="4" s="1"/>
  <c r="D36" i="4"/>
  <c r="D37" i="4" s="1"/>
  <c r="C36" i="4"/>
  <c r="C37" i="4" s="1"/>
  <c r="B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I18" i="4"/>
  <c r="H18" i="4"/>
  <c r="B24" i="5" l="1"/>
  <c r="C22" i="5" s="1"/>
  <c r="B37" i="4"/>
  <c r="G36" i="4"/>
  <c r="G37" i="4"/>
  <c r="C23" i="5" l="1"/>
  <c r="D5" i="12" l="1"/>
  <c r="D6" i="12"/>
  <c r="D7" i="12"/>
  <c r="D8" i="12"/>
  <c r="D9" i="12"/>
  <c r="D10" i="12"/>
  <c r="D11" i="12"/>
  <c r="D12" i="12"/>
  <c r="D13" i="12"/>
  <c r="D14" i="12"/>
  <c r="C18" i="12"/>
  <c r="B18" i="12"/>
  <c r="D7" i="9"/>
  <c r="C7" i="9"/>
  <c r="B7" i="9"/>
  <c r="F18" i="4"/>
  <c r="E18" i="4"/>
  <c r="D18" i="4"/>
  <c r="C18" i="4"/>
  <c r="F7" i="9" l="1"/>
  <c r="D18" i="12"/>
  <c r="G18" i="4"/>
  <c r="B18" i="4" l="1"/>
</calcChain>
</file>

<file path=xl/sharedStrings.xml><?xml version="1.0" encoding="utf-8"?>
<sst xmlns="http://schemas.openxmlformats.org/spreadsheetml/2006/main" count="417" uniqueCount="130">
  <si>
    <t>AB</t>
  </si>
  <si>
    <t>BC</t>
  </si>
  <si>
    <t>MB</t>
  </si>
  <si>
    <t>NB</t>
  </si>
  <si>
    <t>NL</t>
  </si>
  <si>
    <t>NS</t>
  </si>
  <si>
    <t>NT</t>
  </si>
  <si>
    <t>NU</t>
  </si>
  <si>
    <t>ON</t>
  </si>
  <si>
    <t>PE</t>
  </si>
  <si>
    <t>QC</t>
  </si>
  <si>
    <t>SK</t>
  </si>
  <si>
    <t>YT</t>
  </si>
  <si>
    <t>Publishing Frequency: Number of Editions Published per Week</t>
  </si>
  <si>
    <t>Total</t>
  </si>
  <si>
    <t>Total # of Titles</t>
  </si>
  <si>
    <t>Editions and Circulation Figures by Province</t>
  </si>
  <si>
    <t>Total # of Editions</t>
  </si>
  <si>
    <t>Total Paid Circulation</t>
  </si>
  <si>
    <t>Total Controlled Circulation</t>
  </si>
  <si>
    <t>Total Circ All Editions</t>
  </si>
  <si>
    <t>Average Total Circ per Edition</t>
  </si>
  <si>
    <t>Ownership: Number of Titles</t>
  </si>
  <si>
    <t>Ownership: Number of Titles by Province/Territory</t>
  </si>
  <si>
    <t>Ownership: Total Circulation by Province/Territory</t>
  </si>
  <si>
    <t>Business Model: Paid vs. Controlled Circulation</t>
  </si>
  <si>
    <t>Format: Tabloid vs. Broadsheet Editions</t>
  </si>
  <si>
    <t>Publication Language</t>
  </si>
  <si>
    <t>Owner</t>
  </si>
  <si>
    <t># Titles</t>
  </si>
  <si>
    <t>Black Press Ltd.</t>
  </si>
  <si>
    <t>Glacier Media Inc.</t>
  </si>
  <si>
    <t>Alta Newspaper Group L.P.</t>
  </si>
  <si>
    <t>FP Newspapers Inc.</t>
  </si>
  <si>
    <t>Number of Editions</t>
  </si>
  <si>
    <t>Paid Circulation</t>
  </si>
  <si>
    <t>Controlled Circulation</t>
  </si>
  <si>
    <t>Total Circulation</t>
  </si>
  <si>
    <t>Average Total Circ Per Edition</t>
  </si>
  <si>
    <t>Controlled</t>
  </si>
  <si>
    <t>Paid</t>
  </si>
  <si>
    <t>Format</t>
  </si>
  <si>
    <t>Broadsheet</t>
  </si>
  <si>
    <t>Tabloid</t>
  </si>
  <si>
    <t>English</t>
  </si>
  <si>
    <t>French</t>
  </si>
  <si>
    <t>Independent Titles</t>
  </si>
  <si>
    <t>Independent Single Titles</t>
  </si>
  <si>
    <t>Language of Publication</t>
  </si>
  <si>
    <t>% Total</t>
  </si>
  <si>
    <t># of Titles with Websites</t>
  </si>
  <si>
    <t># Titles publishing 3/week</t>
  </si>
  <si>
    <t># Titles publishing 4/week</t>
  </si>
  <si>
    <t># Titles publishing 5/week</t>
  </si>
  <si>
    <t># Titles publishing 6/week</t>
  </si>
  <si>
    <t># Titles publishing 7/week</t>
  </si>
  <si>
    <t>Provincial Total</t>
  </si>
  <si>
    <t>Daily Newspaper</t>
  </si>
  <si>
    <t>Newspaper with Smallest Total Circulation</t>
  </si>
  <si>
    <t>Newspaper with Largest Total Circulation</t>
  </si>
  <si>
    <t>Coopérative nationale de l’information indépendante (CN2i)</t>
  </si>
  <si>
    <t>Métro Média</t>
  </si>
  <si>
    <t>Quebecor Media Inc.</t>
  </si>
  <si>
    <t>The Globe and Mail Inc.</t>
  </si>
  <si>
    <t>Daily Newspapers</t>
  </si>
  <si>
    <t>Digital</t>
  </si>
  <si>
    <t>Number of Newspapers with Websites</t>
  </si>
  <si>
    <t>Torstar Corporation/Metroland Media Group</t>
  </si>
  <si>
    <t>SaltWire Network/Halifax Herald Ltd.</t>
  </si>
  <si>
    <t>La Presse inc.</t>
  </si>
  <si>
    <t>Corporate</t>
  </si>
  <si>
    <t>Province</t>
  </si>
  <si>
    <t xml:space="preserve"> Owner Type</t>
  </si>
  <si>
    <t>Titles</t>
  </si>
  <si>
    <t>% of Total</t>
  </si>
  <si>
    <t>Independent - Single or Groups*</t>
  </si>
  <si>
    <t>Circulation Figures by Province</t>
  </si>
  <si>
    <t>All Daily and Community Papers</t>
  </si>
  <si>
    <t>Province/ Territory</t>
  </si>
  <si>
    <t>Circulation by Province - All Community Newspapers</t>
  </si>
  <si>
    <t>Total Titles</t>
  </si>
  <si>
    <t>Total Editions</t>
  </si>
  <si>
    <t>Owner Type</t>
  </si>
  <si>
    <t>Independent Groups*</t>
  </si>
  <si>
    <t>Publishing Frequency</t>
  </si>
  <si>
    <t>Province/ 
Territory</t>
  </si>
  <si>
    <t>1 Edition per Week</t>
  </si>
  <si>
    <t>2 Editions per Week</t>
  </si>
  <si>
    <t>Other</t>
  </si>
  <si>
    <t>Once per Month</t>
  </si>
  <si>
    <t>Ownership: Editions and Circulation</t>
  </si>
  <si>
    <t>snapd Inc.</t>
  </si>
  <si>
    <t>Postmedia Network Inc.</t>
  </si>
  <si>
    <t>SaltWire Network</t>
  </si>
  <si>
    <t>Icimédias inc.</t>
  </si>
  <si>
    <t>Lexis Média inc.</t>
  </si>
  <si>
    <t>Canadian Forces Morale and Welfare Services (CFMWS)</t>
  </si>
  <si>
    <t>London Publishing Corporation</t>
  </si>
  <si>
    <t>Aberdeen Publishing Limited Partnership</t>
  </si>
  <si>
    <t>La Compagnie d'édition André Paquette Inc</t>
  </si>
  <si>
    <t>Post City Magazines</t>
  </si>
  <si>
    <t>Advocate Printing &amp; Publishing</t>
  </si>
  <si>
    <t>Okanagan Valley Newspaper Group</t>
  </si>
  <si>
    <t>Epoch Times Media Inc.</t>
  </si>
  <si>
    <t>Independent Groups</t>
  </si>
  <si>
    <t>Great West Media LP</t>
  </si>
  <si>
    <t>Paid and Controlled Circulation Editions</t>
  </si>
  <si>
    <t>Circulation Model</t>
  </si>
  <si>
    <t># Editions</t>
  </si>
  <si>
    <t>Format of Publication</t>
  </si>
  <si>
    <t>Magazine</t>
  </si>
  <si>
    <t>English/French</t>
  </si>
  <si>
    <t>English/Aboriginal</t>
  </si>
  <si>
    <t>TOTAL</t>
  </si>
  <si>
    <t>Number of Titles and Ownership by Province/Territory</t>
  </si>
  <si>
    <t>Website by Province/Territory</t>
  </si>
  <si>
    <t># Websites</t>
  </si>
  <si>
    <t>Websites as % of Total Titles</t>
  </si>
  <si>
    <t>% of Titles with Website</t>
  </si>
  <si>
    <r>
      <t xml:space="preserve">Total Circulation
</t>
    </r>
    <r>
      <rPr>
        <sz val="11"/>
        <color indexed="8"/>
        <rFont val="Arial"/>
        <family val="2"/>
      </rPr>
      <t>(all editions)</t>
    </r>
  </si>
  <si>
    <r>
      <t xml:space="preserve">Average Circulation </t>
    </r>
    <r>
      <rPr>
        <sz val="11"/>
        <color indexed="8"/>
        <rFont val="Arial"/>
        <family val="2"/>
      </rPr>
      <t>(per edition)</t>
    </r>
  </si>
  <si>
    <t>Source: News Media Canada database, July 2022</t>
  </si>
  <si>
    <t>Brunswick News, a division of Postmedia Network Inc.</t>
  </si>
  <si>
    <t>Metroland Media Group (Torstar Corp.)</t>
  </si>
  <si>
    <t>Northern News Services Ltd., a div. of Black Press Ltd.</t>
  </si>
  <si>
    <t>Independent Groups (50 groups owning 2 or more titles)</t>
  </si>
  <si>
    <t>Northern News Services Ltd. (Black Press Ltd.)</t>
  </si>
  <si>
    <t>Independent Groups (50 groups owning 2 or more titles)*</t>
  </si>
  <si>
    <t>Continental Newspapers Canada Ltd.</t>
  </si>
  <si>
    <t>Postmedia Network Inc./Brunswick News/Pacific Newspaper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</si>
</sst>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(* #,##0_);_(* \(#,##0\);_(* &quot;-&quot;_);_(@_)"/>
  </numFmts>
  <fonts count="2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8"/>
      <color indexed="18"/>
      <name val="Calibri"/>
      <family val="2"/>
      <scheme val="minor"/>
    </font>
    <font>
      <sz val="8"/>
      <color indexed="8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8"/>
      <color indexed="1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8"/>
      <color rgb="FF2B269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i/>
      <sz val="8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rgb="FF99CCFA"/>
        <bgColor indexed="0"/>
      </patternFill>
    </fill>
    <fill>
      <patternFill patternType="solid">
        <fgColor indexed="44"/>
        <bgColor indexed="0"/>
      </patternFill>
    </fill>
    <fill>
      <patternFill patternType="solid">
        <fgColor rgb="FF99CCFF"/>
        <bgColor rgb="FF000000"/>
      </patternFill>
    </fill>
    <fill>
      <patternFill patternType="solid">
        <fgColor rgb="FF99CCFA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theme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double">
        <color theme="1"/>
      </top>
      <bottom style="medium">
        <color indexed="64"/>
      </bottom>
      <diagonal/>
    </border>
    <border>
      <left style="thin">
        <color auto="1"/>
      </left>
      <right/>
      <top style="double">
        <color theme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theme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theme="1"/>
      </top>
      <bottom style="medium">
        <color indexed="64"/>
      </bottom>
      <diagonal/>
    </border>
    <border>
      <left/>
      <right style="medium">
        <color indexed="64"/>
      </right>
      <top style="double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85">
    <xf numFmtId="0" fontId="0" fillId="0" borderId="0" xfId="0"/>
    <xf numFmtId="165" fontId="0" fillId="0" borderId="0" xfId="1" applyNumberFormat="1" applyFont="1"/>
    <xf numFmtId="0" fontId="4" fillId="0" borderId="0" xfId="4" applyFont="1"/>
    <xf numFmtId="0" fontId="0" fillId="0" borderId="0" xfId="0" applyAlignment="1">
      <alignment wrapText="1"/>
    </xf>
    <xf numFmtId="164" fontId="0" fillId="0" borderId="0" xfId="2" applyNumberFormat="1" applyFont="1"/>
    <xf numFmtId="0" fontId="6" fillId="0" borderId="0" xfId="0" applyFont="1"/>
    <xf numFmtId="165" fontId="7" fillId="0" borderId="0" xfId="1" applyNumberFormat="1" applyFont="1"/>
    <xf numFmtId="0" fontId="7" fillId="0" borderId="0" xfId="0" applyFont="1" applyAlignment="1">
      <alignment wrapText="1"/>
    </xf>
    <xf numFmtId="0" fontId="7" fillId="0" borderId="0" xfId="0" applyFont="1"/>
    <xf numFmtId="0" fontId="10" fillId="0" borderId="3" xfId="7" applyFont="1" applyBorder="1" applyAlignment="1">
      <alignment vertical="center"/>
    </xf>
    <xf numFmtId="0" fontId="10" fillId="0" borderId="4" xfId="7" applyFont="1" applyBorder="1" applyAlignment="1">
      <alignment vertical="center"/>
    </xf>
    <xf numFmtId="9" fontId="0" fillId="0" borderId="0" xfId="2" applyFont="1"/>
    <xf numFmtId="0" fontId="7" fillId="0" borderId="2" xfId="0" applyFont="1" applyBorder="1"/>
    <xf numFmtId="165" fontId="7" fillId="0" borderId="2" xfId="1" applyNumberFormat="1" applyFont="1" applyFill="1" applyBorder="1"/>
    <xf numFmtId="3" fontId="7" fillId="0" borderId="2" xfId="0" applyNumberFormat="1" applyFont="1" applyBorder="1"/>
    <xf numFmtId="0" fontId="6" fillId="0" borderId="0" xfId="0" applyFont="1" applyAlignment="1">
      <alignment vertical="center"/>
    </xf>
    <xf numFmtId="0" fontId="15" fillId="5" borderId="6" xfId="0" applyFont="1" applyFill="1" applyBorder="1" applyAlignment="1">
      <alignment horizontal="left" vertical="center" wrapText="1"/>
    </xf>
    <xf numFmtId="166" fontId="1" fillId="0" borderId="0" xfId="0" applyNumberFormat="1" applyFont="1"/>
    <xf numFmtId="0" fontId="7" fillId="0" borderId="9" xfId="0" applyFont="1" applyBorder="1"/>
    <xf numFmtId="165" fontId="12" fillId="0" borderId="0" xfId="1" applyNumberFormat="1" applyFont="1" applyFill="1" applyBorder="1" applyAlignment="1">
      <alignment horizontal="center" vertical="center" wrapText="1"/>
    </xf>
    <xf numFmtId="9" fontId="2" fillId="4" borderId="11" xfId="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165" fontId="7" fillId="0" borderId="2" xfId="1" applyNumberFormat="1" applyFont="1" applyFill="1" applyBorder="1" applyAlignment="1"/>
    <xf numFmtId="9" fontId="7" fillId="6" borderId="1" xfId="0" applyNumberFormat="1" applyFont="1" applyFill="1" applyBorder="1"/>
    <xf numFmtId="0" fontId="18" fillId="6" borderId="10" xfId="0" applyFont="1" applyFill="1" applyBorder="1"/>
    <xf numFmtId="0" fontId="1" fillId="0" borderId="0" xfId="0" applyFont="1"/>
    <xf numFmtId="0" fontId="11" fillId="0" borderId="0" xfId="4" applyFont="1"/>
    <xf numFmtId="1" fontId="7" fillId="0" borderId="2" xfId="1" applyNumberFormat="1" applyFont="1" applyFill="1" applyBorder="1"/>
    <xf numFmtId="165" fontId="7" fillId="0" borderId="14" xfId="1" applyNumberFormat="1" applyFont="1" applyFill="1" applyBorder="1"/>
    <xf numFmtId="0" fontId="13" fillId="4" borderId="12" xfId="7" applyFont="1" applyFill="1" applyBorder="1" applyAlignment="1">
      <alignment horizontal="center" vertical="center" wrapText="1"/>
    </xf>
    <xf numFmtId="0" fontId="11" fillId="0" borderId="0" xfId="4" applyFont="1" applyAlignment="1">
      <alignment horizontal="left"/>
    </xf>
    <xf numFmtId="166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3" fontId="7" fillId="0" borderId="9" xfId="0" applyNumberFormat="1" applyFont="1" applyBorder="1"/>
    <xf numFmtId="9" fontId="1" fillId="0" borderId="0" xfId="2" applyFont="1"/>
    <xf numFmtId="0" fontId="7" fillId="0" borderId="14" xfId="0" applyFont="1" applyBorder="1"/>
    <xf numFmtId="164" fontId="1" fillId="0" borderId="0" xfId="2" applyNumberFormat="1" applyFont="1"/>
    <xf numFmtId="165" fontId="20" fillId="0" borderId="2" xfId="0" applyNumberFormat="1" applyFont="1" applyBorder="1"/>
    <xf numFmtId="0" fontId="3" fillId="0" borderId="0" xfId="4"/>
    <xf numFmtId="0" fontId="21" fillId="0" borderId="0" xfId="4" applyFont="1"/>
    <xf numFmtId="165" fontId="7" fillId="0" borderId="0" xfId="0" applyNumberFormat="1" applyFont="1"/>
    <xf numFmtId="0" fontId="18" fillId="6" borderId="15" xfId="0" applyFont="1" applyFill="1" applyBorder="1"/>
    <xf numFmtId="0" fontId="7" fillId="0" borderId="0" xfId="0" applyFont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0" fontId="13" fillId="3" borderId="5" xfId="8" applyFont="1" applyFill="1" applyBorder="1" applyAlignment="1">
      <alignment horizontal="center" vertical="center" wrapText="1"/>
    </xf>
    <xf numFmtId="3" fontId="13" fillId="4" borderId="7" xfId="8" applyNumberFormat="1" applyFont="1" applyFill="1" applyBorder="1" applyAlignment="1">
      <alignment horizontal="center" vertical="center" wrapText="1"/>
    </xf>
    <xf numFmtId="0" fontId="13" fillId="4" borderId="7" xfId="8" applyFont="1" applyFill="1" applyBorder="1" applyAlignment="1">
      <alignment horizontal="center" vertical="center" wrapText="1"/>
    </xf>
    <xf numFmtId="0" fontId="13" fillId="4" borderId="5" xfId="8" applyFont="1" applyFill="1" applyBorder="1" applyAlignment="1">
      <alignment horizontal="center" vertical="center" wrapText="1"/>
    </xf>
    <xf numFmtId="165" fontId="13" fillId="4" borderId="7" xfId="1" applyNumberFormat="1" applyFont="1" applyFill="1" applyBorder="1" applyAlignment="1">
      <alignment horizontal="center" vertical="center" wrapText="1"/>
    </xf>
    <xf numFmtId="0" fontId="13" fillId="4" borderId="8" xfId="8" applyFont="1" applyFill="1" applyBorder="1" applyAlignment="1">
      <alignment horizontal="center" vertical="center" wrapText="1"/>
    </xf>
    <xf numFmtId="166" fontId="7" fillId="0" borderId="0" xfId="0" applyNumberFormat="1" applyFont="1"/>
    <xf numFmtId="0" fontId="13" fillId="4" borderId="12" xfId="8" applyFont="1" applyFill="1" applyBorder="1" applyAlignment="1">
      <alignment horizontal="center" vertical="center" wrapText="1"/>
    </xf>
    <xf numFmtId="0" fontId="7" fillId="0" borderId="17" xfId="0" applyFont="1" applyBorder="1"/>
    <xf numFmtId="165" fontId="7" fillId="0" borderId="19" xfId="1" applyNumberFormat="1" applyFont="1" applyFill="1" applyBorder="1"/>
    <xf numFmtId="3" fontId="7" fillId="0" borderId="17" xfId="0" applyNumberFormat="1" applyFont="1" applyBorder="1"/>
    <xf numFmtId="3" fontId="7" fillId="0" borderId="19" xfId="0" applyNumberFormat="1" applyFont="1" applyBorder="1"/>
    <xf numFmtId="0" fontId="7" fillId="0" borderId="20" xfId="0" applyFont="1" applyBorder="1"/>
    <xf numFmtId="165" fontId="7" fillId="0" borderId="21" xfId="1" applyNumberFormat="1" applyFont="1" applyFill="1" applyBorder="1"/>
    <xf numFmtId="3" fontId="7" fillId="0" borderId="20" xfId="0" applyNumberFormat="1" applyFont="1" applyBorder="1"/>
    <xf numFmtId="3" fontId="7" fillId="0" borderId="21" xfId="0" applyNumberFormat="1" applyFont="1" applyBorder="1"/>
    <xf numFmtId="3" fontId="13" fillId="4" borderId="22" xfId="0" applyNumberFormat="1" applyFont="1" applyFill="1" applyBorder="1" applyAlignment="1">
      <alignment horizontal="right" vertical="center" wrapText="1"/>
    </xf>
    <xf numFmtId="0" fontId="13" fillId="4" borderId="16" xfId="0" applyFont="1" applyFill="1" applyBorder="1" applyAlignment="1">
      <alignment horizontal="left" vertical="center" wrapText="1"/>
    </xf>
    <xf numFmtId="3" fontId="13" fillId="4" borderId="16" xfId="0" applyNumberFormat="1" applyFont="1" applyFill="1" applyBorder="1" applyAlignment="1">
      <alignment horizontal="right" vertical="center" wrapText="1"/>
    </xf>
    <xf numFmtId="3" fontId="13" fillId="4" borderId="8" xfId="8" applyNumberFormat="1" applyFont="1" applyFill="1" applyBorder="1" applyAlignment="1">
      <alignment horizontal="center" vertical="center" wrapText="1"/>
    </xf>
    <xf numFmtId="0" fontId="7" fillId="0" borderId="23" xfId="0" applyFont="1" applyBorder="1"/>
    <xf numFmtId="165" fontId="7" fillId="0" borderId="24" xfId="1" applyNumberFormat="1" applyFont="1" applyFill="1" applyBorder="1"/>
    <xf numFmtId="165" fontId="18" fillId="6" borderId="1" xfId="0" applyNumberFormat="1" applyFont="1" applyFill="1" applyBorder="1"/>
    <xf numFmtId="165" fontId="16" fillId="6" borderId="25" xfId="0" applyNumberFormat="1" applyFont="1" applyFill="1" applyBorder="1" applyAlignment="1">
      <alignment horizontal="right"/>
    </xf>
    <xf numFmtId="0" fontId="10" fillId="0" borderId="23" xfId="9" applyFont="1" applyBorder="1" applyAlignment="1">
      <alignment vertical="center" wrapText="1"/>
    </xf>
    <xf numFmtId="0" fontId="7" fillId="0" borderId="24" xfId="0" applyFont="1" applyBorder="1" applyAlignment="1">
      <alignment horizontal="right"/>
    </xf>
    <xf numFmtId="0" fontId="10" fillId="0" borderId="4" xfId="9" applyFont="1" applyBorder="1" applyAlignment="1">
      <alignment vertical="center" wrapText="1"/>
    </xf>
    <xf numFmtId="0" fontId="13" fillId="4" borderId="26" xfId="8" applyFont="1" applyFill="1" applyBorder="1" applyAlignment="1">
      <alignment horizontal="center" vertical="center" wrapText="1"/>
    </xf>
    <xf numFmtId="0" fontId="18" fillId="6" borderId="27" xfId="0" applyFont="1" applyFill="1" applyBorder="1"/>
    <xf numFmtId="165" fontId="13" fillId="4" borderId="28" xfId="1" applyNumberFormat="1" applyFont="1" applyFill="1" applyBorder="1" applyAlignment="1">
      <alignment horizontal="center" vertical="center" wrapText="1"/>
    </xf>
    <xf numFmtId="9" fontId="7" fillId="6" borderId="25" xfId="0" applyNumberFormat="1" applyFont="1" applyFill="1" applyBorder="1"/>
    <xf numFmtId="0" fontId="7" fillId="0" borderId="24" xfId="0" applyFont="1" applyBorder="1"/>
    <xf numFmtId="165" fontId="12" fillId="4" borderId="28" xfId="1" applyNumberFormat="1" applyFont="1" applyFill="1" applyBorder="1" applyAlignment="1">
      <alignment horizontal="center" vertical="center" wrapText="1"/>
    </xf>
    <xf numFmtId="9" fontId="2" fillId="4" borderId="29" xfId="1" applyNumberFormat="1" applyFont="1" applyFill="1" applyBorder="1" applyAlignment="1">
      <alignment horizontal="center" vertical="center" wrapText="1"/>
    </xf>
    <xf numFmtId="0" fontId="13" fillId="4" borderId="30" xfId="8" applyFont="1" applyFill="1" applyBorder="1" applyAlignment="1">
      <alignment horizontal="center" vertical="center" wrapText="1"/>
    </xf>
    <xf numFmtId="0" fontId="13" fillId="4" borderId="31" xfId="8" applyFont="1" applyFill="1" applyBorder="1" applyAlignment="1">
      <alignment horizontal="center" vertical="center" wrapText="1"/>
    </xf>
    <xf numFmtId="0" fontId="13" fillId="4" borderId="32" xfId="8" applyFont="1" applyFill="1" applyBorder="1" applyAlignment="1">
      <alignment horizontal="center" vertical="center" wrapText="1"/>
    </xf>
    <xf numFmtId="0" fontId="7" fillId="0" borderId="33" xfId="0" applyFont="1" applyBorder="1"/>
    <xf numFmtId="9" fontId="7" fillId="0" borderId="24" xfId="0" applyNumberFormat="1" applyFont="1" applyBorder="1"/>
    <xf numFmtId="0" fontId="13" fillId="4" borderId="30" xfId="11" applyFont="1" applyFill="1" applyBorder="1" applyAlignment="1">
      <alignment horizontal="center" vertical="center" wrapText="1"/>
    </xf>
    <xf numFmtId="0" fontId="13" fillId="4" borderId="31" xfId="11" applyFont="1" applyFill="1" applyBorder="1" applyAlignment="1">
      <alignment horizontal="center" vertical="center" wrapText="1"/>
    </xf>
    <xf numFmtId="164" fontId="13" fillId="4" borderId="32" xfId="11" applyNumberFormat="1" applyFont="1" applyFill="1" applyBorder="1" applyAlignment="1">
      <alignment horizontal="center" vertical="center" wrapText="1"/>
    </xf>
    <xf numFmtId="164" fontId="7" fillId="0" borderId="24" xfId="2" applyNumberFormat="1" applyFont="1" applyFill="1" applyBorder="1"/>
    <xf numFmtId="0" fontId="18" fillId="6" borderId="35" xfId="0" applyFont="1" applyFill="1" applyBorder="1"/>
    <xf numFmtId="3" fontId="18" fillId="6" borderId="36" xfId="0" applyNumberFormat="1" applyFont="1" applyFill="1" applyBorder="1"/>
    <xf numFmtId="164" fontId="18" fillId="6" borderId="37" xfId="0" applyNumberFormat="1" applyFont="1" applyFill="1" applyBorder="1"/>
    <xf numFmtId="0" fontId="7" fillId="6" borderId="35" xfId="0" applyFont="1" applyFill="1" applyBorder="1"/>
    <xf numFmtId="0" fontId="7" fillId="6" borderId="36" xfId="0" applyFont="1" applyFill="1" applyBorder="1"/>
    <xf numFmtId="164" fontId="7" fillId="6" borderId="37" xfId="0" applyNumberFormat="1" applyFont="1" applyFill="1" applyBorder="1"/>
    <xf numFmtId="0" fontId="13" fillId="4" borderId="30" xfId="7" applyFont="1" applyFill="1" applyBorder="1" applyAlignment="1">
      <alignment horizontal="center" vertical="center"/>
    </xf>
    <xf numFmtId="0" fontId="13" fillId="4" borderId="31" xfId="7" applyFont="1" applyFill="1" applyBorder="1" applyAlignment="1">
      <alignment horizontal="center" vertical="center"/>
    </xf>
    <xf numFmtId="0" fontId="13" fillId="4" borderId="32" xfId="7" applyFont="1" applyFill="1" applyBorder="1" applyAlignment="1">
      <alignment horizontal="center" vertical="center"/>
    </xf>
    <xf numFmtId="0" fontId="20" fillId="0" borderId="23" xfId="0" applyFont="1" applyBorder="1"/>
    <xf numFmtId="165" fontId="20" fillId="0" borderId="24" xfId="0" applyNumberFormat="1" applyFont="1" applyBorder="1"/>
    <xf numFmtId="0" fontId="20" fillId="6" borderId="28" xfId="0" applyFont="1" applyFill="1" applyBorder="1"/>
    <xf numFmtId="165" fontId="20" fillId="6" borderId="15" xfId="0" applyNumberFormat="1" applyFont="1" applyFill="1" applyBorder="1"/>
    <xf numFmtId="165" fontId="20" fillId="6" borderId="38" xfId="0" applyNumberFormat="1" applyFont="1" applyFill="1" applyBorder="1"/>
    <xf numFmtId="0" fontId="7" fillId="0" borderId="23" xfId="0" applyFont="1" applyBorder="1" applyAlignment="1">
      <alignment wrapText="1"/>
    </xf>
    <xf numFmtId="0" fontId="7" fillId="6" borderId="37" xfId="0" applyFont="1" applyFill="1" applyBorder="1"/>
    <xf numFmtId="3" fontId="13" fillId="4" borderId="31" xfId="8" applyNumberFormat="1" applyFont="1" applyFill="1" applyBorder="1" applyAlignment="1">
      <alignment horizontal="center" vertical="center" wrapText="1"/>
    </xf>
    <xf numFmtId="3" fontId="13" fillId="4" borderId="32" xfId="8" applyNumberFormat="1" applyFont="1" applyFill="1" applyBorder="1" applyAlignment="1">
      <alignment horizontal="center" vertical="center" wrapText="1"/>
    </xf>
    <xf numFmtId="0" fontId="7" fillId="0" borderId="4" xfId="0" applyFont="1" applyBorder="1"/>
    <xf numFmtId="9" fontId="7" fillId="0" borderId="39" xfId="0" applyNumberFormat="1" applyFont="1" applyBorder="1"/>
    <xf numFmtId="0" fontId="18" fillId="6" borderId="40" xfId="0" applyFont="1" applyFill="1" applyBorder="1"/>
    <xf numFmtId="9" fontId="18" fillId="6" borderId="38" xfId="0" applyNumberFormat="1" applyFont="1" applyFill="1" applyBorder="1"/>
    <xf numFmtId="0" fontId="7" fillId="0" borderId="41" xfId="0" applyFont="1" applyBorder="1" applyAlignment="1">
      <alignment horizontal="center" vertical="center" wrapText="1"/>
    </xf>
    <xf numFmtId="165" fontId="7" fillId="0" borderId="18" xfId="1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165" fontId="7" fillId="0" borderId="0" xfId="1" applyNumberFormat="1" applyFont="1" applyBorder="1"/>
    <xf numFmtId="165" fontId="7" fillId="0" borderId="43" xfId="0" applyNumberFormat="1" applyFont="1" applyBorder="1"/>
    <xf numFmtId="0" fontId="7" fillId="0" borderId="28" xfId="0" applyFont="1" applyBorder="1" applyAlignment="1">
      <alignment wrapText="1"/>
    </xf>
    <xf numFmtId="165" fontId="7" fillId="0" borderId="44" xfId="0" applyNumberFormat="1" applyFont="1" applyBorder="1"/>
    <xf numFmtId="165" fontId="7" fillId="0" borderId="45" xfId="0" applyNumberFormat="1" applyFont="1" applyBorder="1"/>
    <xf numFmtId="165" fontId="7" fillId="0" borderId="42" xfId="1" applyNumberFormat="1" applyFont="1" applyBorder="1" applyAlignment="1">
      <alignment horizontal="center" vertical="center" wrapText="1"/>
    </xf>
    <xf numFmtId="165" fontId="9" fillId="0" borderId="0" xfId="1" applyNumberFormat="1" applyFont="1" applyBorder="1"/>
    <xf numFmtId="165" fontId="7" fillId="0" borderId="43" xfId="1" applyNumberFormat="1" applyFont="1" applyBorder="1"/>
    <xf numFmtId="0" fontId="7" fillId="0" borderId="28" xfId="0" applyFont="1" applyBorder="1"/>
    <xf numFmtId="165" fontId="7" fillId="0" borderId="1" xfId="0" applyNumberFormat="1" applyFont="1" applyBorder="1"/>
    <xf numFmtId="165" fontId="9" fillId="0" borderId="1" xfId="0" applyNumberFormat="1" applyFont="1" applyBorder="1"/>
    <xf numFmtId="165" fontId="7" fillId="0" borderId="25" xfId="0" applyNumberFormat="1" applyFont="1" applyBorder="1"/>
    <xf numFmtId="0" fontId="7" fillId="0" borderId="0" xfId="0" applyFont="1" applyAlignment="1">
      <alignment horizontal="center" vertical="center" wrapText="1"/>
    </xf>
    <xf numFmtId="165" fontId="7" fillId="0" borderId="0" xfId="1" applyNumberFormat="1" applyFont="1" applyBorder="1" applyAlignment="1">
      <alignment horizontal="center" vertical="center" wrapText="1"/>
    </xf>
    <xf numFmtId="165" fontId="7" fillId="0" borderId="0" xfId="1" applyNumberFormat="1" applyFont="1" applyFill="1" applyBorder="1"/>
    <xf numFmtId="164" fontId="7" fillId="0" borderId="0" xfId="2" applyNumberFormat="1" applyFont="1" applyBorder="1" applyAlignment="1">
      <alignment horizontal="center" vertical="center"/>
    </xf>
    <xf numFmtId="164" fontId="7" fillId="0" borderId="0" xfId="2" applyNumberFormat="1" applyFont="1" applyBorder="1"/>
    <xf numFmtId="164" fontId="7" fillId="0" borderId="0" xfId="0" applyNumberFormat="1" applyFont="1"/>
    <xf numFmtId="164" fontId="7" fillId="0" borderId="0" xfId="2" applyNumberFormat="1" applyFont="1" applyBorder="1" applyAlignment="1">
      <alignment horizontal="center" vertical="center" wrapText="1"/>
    </xf>
    <xf numFmtId="165" fontId="19" fillId="6" borderId="36" xfId="0" applyNumberFormat="1" applyFont="1" applyFill="1" applyBorder="1"/>
    <xf numFmtId="165" fontId="19" fillId="6" borderId="37" xfId="0" applyNumberFormat="1" applyFont="1" applyFill="1" applyBorder="1"/>
    <xf numFmtId="0" fontId="13" fillId="3" borderId="30" xfId="8" applyFont="1" applyFill="1" applyBorder="1" applyAlignment="1">
      <alignment horizontal="center" vertical="center" wrapText="1"/>
    </xf>
    <xf numFmtId="0" fontId="13" fillId="3" borderId="31" xfId="8" applyFont="1" applyFill="1" applyBorder="1" applyAlignment="1">
      <alignment horizontal="center" vertical="center" wrapText="1"/>
    </xf>
    <xf numFmtId="3" fontId="13" fillId="3" borderId="31" xfId="8" applyNumberFormat="1" applyFont="1" applyFill="1" applyBorder="1" applyAlignment="1">
      <alignment horizontal="center" vertical="center" wrapText="1"/>
    </xf>
    <xf numFmtId="0" fontId="13" fillId="3" borderId="32" xfId="8" applyFont="1" applyFill="1" applyBorder="1" applyAlignment="1">
      <alignment horizontal="center" vertical="center" wrapText="1"/>
    </xf>
    <xf numFmtId="3" fontId="7" fillId="0" borderId="24" xfId="0" applyNumberFormat="1" applyFont="1" applyBorder="1"/>
    <xf numFmtId="3" fontId="7" fillId="0" borderId="39" xfId="0" applyNumberFormat="1" applyFont="1" applyBorder="1"/>
    <xf numFmtId="3" fontId="18" fillId="6" borderId="47" xfId="0" applyNumberFormat="1" applyFont="1" applyFill="1" applyBorder="1"/>
    <xf numFmtId="3" fontId="18" fillId="6" borderId="34" xfId="0" applyNumberFormat="1" applyFont="1" applyFill="1" applyBorder="1"/>
    <xf numFmtId="0" fontId="7" fillId="0" borderId="39" xfId="0" applyFont="1" applyBorder="1"/>
    <xf numFmtId="0" fontId="13" fillId="4" borderId="41" xfId="8" applyFont="1" applyFill="1" applyBorder="1" applyAlignment="1">
      <alignment horizontal="center" vertical="center" wrapText="1"/>
    </xf>
    <xf numFmtId="0" fontId="13" fillId="4" borderId="13" xfId="8" applyFont="1" applyFill="1" applyBorder="1" applyAlignment="1">
      <alignment horizontal="center" vertical="center" wrapText="1"/>
    </xf>
    <xf numFmtId="165" fontId="7" fillId="0" borderId="46" xfId="0" applyNumberFormat="1" applyFont="1" applyBorder="1"/>
    <xf numFmtId="9" fontId="7" fillId="0" borderId="48" xfId="0" applyNumberFormat="1" applyFont="1" applyBorder="1"/>
    <xf numFmtId="0" fontId="13" fillId="4" borderId="49" xfId="7" applyFont="1" applyFill="1" applyBorder="1" applyAlignment="1">
      <alignment horizontal="center" vertical="center" wrapText="1"/>
    </xf>
    <xf numFmtId="0" fontId="13" fillId="4" borderId="50" xfId="7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7" fillId="0" borderId="9" xfId="0" applyNumberFormat="1" applyFont="1" applyBorder="1"/>
    <xf numFmtId="0" fontId="7" fillId="0" borderId="12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9" fontId="7" fillId="0" borderId="50" xfId="2" applyFont="1" applyBorder="1" applyAlignment="1">
      <alignment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center" vertical="center"/>
    </xf>
    <xf numFmtId="9" fontId="7" fillId="0" borderId="0" xfId="2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0" fontId="7" fillId="0" borderId="51" xfId="0" applyFont="1" applyBorder="1"/>
    <xf numFmtId="165" fontId="7" fillId="0" borderId="52" xfId="1" applyNumberFormat="1" applyFont="1" applyFill="1" applyBorder="1"/>
    <xf numFmtId="3" fontId="7" fillId="0" borderId="51" xfId="0" applyNumberFormat="1" applyFont="1" applyBorder="1"/>
    <xf numFmtId="3" fontId="7" fillId="0" borderId="52" xfId="0" applyNumberFormat="1" applyFont="1" applyBorder="1"/>
    <xf numFmtId="0" fontId="13" fillId="3" borderId="16" xfId="8" applyFont="1" applyFill="1" applyBorder="1" applyAlignment="1">
      <alignment horizontal="center" vertical="center" wrapText="1"/>
    </xf>
    <xf numFmtId="0" fontId="13" fillId="3" borderId="22" xfId="8" applyFont="1" applyFill="1" applyBorder="1" applyAlignment="1">
      <alignment horizontal="center" vertical="center" wrapText="1"/>
    </xf>
    <xf numFmtId="0" fontId="10" fillId="0" borderId="3" xfId="9" applyFont="1" applyBorder="1" applyAlignment="1">
      <alignment vertical="center" wrapText="1"/>
    </xf>
    <xf numFmtId="0" fontId="7" fillId="0" borderId="46" xfId="0" applyFont="1" applyBorder="1"/>
    <xf numFmtId="0" fontId="7" fillId="0" borderId="48" xfId="0" applyFont="1" applyBorder="1"/>
    <xf numFmtId="0" fontId="13" fillId="4" borderId="49" xfId="10" applyFont="1" applyFill="1" applyBorder="1" applyAlignment="1">
      <alignment horizontal="center" vertical="center" wrapText="1"/>
    </xf>
    <xf numFmtId="0" fontId="13" fillId="4" borderId="53" xfId="10" applyFont="1" applyFill="1" applyBorder="1" applyAlignment="1">
      <alignment horizontal="center" vertical="center" wrapText="1"/>
    </xf>
    <xf numFmtId="0" fontId="13" fillId="4" borderId="50" xfId="1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wrapText="1"/>
    </xf>
    <xf numFmtId="0" fontId="13" fillId="4" borderId="28" xfId="8" applyFont="1" applyFill="1" applyBorder="1" applyAlignment="1">
      <alignment horizontal="center" vertical="center" wrapText="1"/>
    </xf>
    <xf numFmtId="0" fontId="7" fillId="0" borderId="55" xfId="0" applyFont="1" applyBorder="1"/>
    <xf numFmtId="165" fontId="18" fillId="6" borderId="56" xfId="0" applyNumberFormat="1" applyFont="1" applyFill="1" applyBorder="1"/>
    <xf numFmtId="9" fontId="18" fillId="6" borderId="29" xfId="0" applyNumberFormat="1" applyFont="1" applyFill="1" applyBorder="1"/>
    <xf numFmtId="0" fontId="10" fillId="0" borderId="55" xfId="7" applyFont="1" applyBorder="1" applyAlignment="1">
      <alignment vertical="center"/>
    </xf>
    <xf numFmtId="165" fontId="7" fillId="0" borderId="57" xfId="0" applyNumberFormat="1" applyFont="1" applyBorder="1"/>
    <xf numFmtId="9" fontId="7" fillId="0" borderId="58" xfId="0" applyNumberFormat="1" applyFont="1" applyBorder="1"/>
    <xf numFmtId="0" fontId="18" fillId="6" borderId="28" xfId="0" applyFont="1" applyFill="1" applyBorder="1"/>
    <xf numFmtId="0" fontId="20" fillId="0" borderId="55" xfId="0" applyFont="1" applyBorder="1"/>
    <xf numFmtId="0" fontId="11" fillId="0" borderId="0" xfId="3" applyFont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12">
    <cellStyle name="Comma" xfId="1" builtinId="3"/>
    <cellStyle name="Normal" xfId="0" builtinId="0"/>
    <cellStyle name="Normal 2" xfId="5" xr:uid="{00000000-0005-0000-0000-000002000000}"/>
    <cellStyle name="Normal 3" xfId="3" xr:uid="{00000000-0005-0000-0000-000003000000}"/>
    <cellStyle name="Normal 4" xfId="4" xr:uid="{00000000-0005-0000-0000-000004000000}"/>
    <cellStyle name="Normal_Ownership - by province 2" xfId="7" xr:uid="{AB6D74AC-14A6-49E6-97BC-92A8E99397E6}"/>
    <cellStyle name="Normal_Sheet1" xfId="9" xr:uid="{2DCAC5B3-B9D8-4D66-9CC4-B44F64520C4A}"/>
    <cellStyle name="Normal_Sheet7" xfId="8" xr:uid="{1A15923C-3CF7-455C-8905-069B624E6794}"/>
    <cellStyle name="Normal_Sheet7 2" xfId="10" xr:uid="{10BDAA7A-A716-4F92-BE6C-FCBBEB98DCCE}"/>
    <cellStyle name="Normal_Tabloid Broadsheet 2" xfId="11" xr:uid="{26528E68-DBB5-43E4-B204-9ADCA1A0CA38}"/>
    <cellStyle name="Percent" xfId="2" builtinId="5"/>
    <cellStyle name="Percent 2" xfId="6" xr:uid="{00000000-0005-0000-0000-000006000000}"/>
  </cellStyles>
  <dxfs count="1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z val="11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z val="11"/>
      </font>
      <numFmt numFmtId="165" formatCode="_-* #,##0_-;\-* #,##0_-;_-* &quot;-&quot;??_-;_-@_-"/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z val="11"/>
      </font>
      <numFmt numFmtId="165" formatCode="_-* #,##0_-;\-* #,##0_-;_-* &quot;-&quot;??_-;_-@_-"/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z val="11"/>
      </font>
      <numFmt numFmtId="165" formatCode="_-* #,##0_-;\-* #,##0_-;_-* &quot;-&quot;??_-;_-@_-"/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z val="11"/>
      </font>
      <numFmt numFmtId="165" formatCode="_-* #,##0_-;\-* #,##0_-;_-* &quot;-&quot;??_-;_-@_-"/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z val="11"/>
      </font>
      <numFmt numFmtId="165" formatCode="_-* #,##0_-;\-* #,##0_-;_-* &quot;-&quot;??_-;_-@_-"/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z val="11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z val="1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z val="11"/>
      </font>
      <numFmt numFmtId="165" formatCode="_-* #,##0_-;\-* #,##0_-;_-* &quot;-&quot;??_-;_-@_-"/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z val="11"/>
      </font>
      <numFmt numFmtId="165" formatCode="_-* #,##0_-;\-* #,##0_-;_-* &quot;-&quot;??_-;_-@_-"/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z val="11"/>
      </font>
      <numFmt numFmtId="165" formatCode="_-* #,##0_-;\-* #,##0_-;_-* &quot;-&quot;??_-;_-@_-"/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z val="11"/>
      </font>
      <numFmt numFmtId="165" formatCode="_-* #,##0_-;\-* #,##0_-;_-* &quot;-&quot;??_-;_-@_-"/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z val="11"/>
      </font>
      <numFmt numFmtId="165" formatCode="_-* #,##0_-;\-* #,##0_-;_-* &quot;-&quot;??_-;_-@_-"/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z val="11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z val="11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z val="11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/>
        <top/>
        <bottom style="double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_-* #,##0_-;\-* #,##0_-;_-* &quot;-&quot;??_-;_-@_-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25" displayName="Table25" ref="A4:G18" totalsRowCount="1" headerRowDxfId="134" dataDxfId="133" totalsRowDxfId="132">
  <tableColumns count="7">
    <tableColumn id="1" xr3:uid="{00000000-0010-0000-0300-000001000000}" name="Province" totalsRowLabel="Total" dataDxfId="131" totalsRowDxfId="130"/>
    <tableColumn id="2" xr3:uid="{00000000-0010-0000-0300-000002000000}" name="Total # of Titles" totalsRowFunction="sum" dataDxfId="129" totalsRowDxfId="128"/>
    <tableColumn id="3" xr3:uid="{00000000-0010-0000-0300-000003000000}" name="Total # of Editions" totalsRowFunction="sum" dataDxfId="127" totalsRowDxfId="126"/>
    <tableColumn id="4" xr3:uid="{00000000-0010-0000-0300-000004000000}" name="Total Paid Circulation" totalsRowFunction="sum" dataDxfId="125" totalsRowDxfId="124"/>
    <tableColumn id="5" xr3:uid="{00000000-0010-0000-0300-000005000000}" name="Total Controlled Circulation" totalsRowFunction="sum" dataDxfId="123" totalsRowDxfId="122"/>
    <tableColumn id="6" xr3:uid="{00000000-0010-0000-0300-000006000000}" name="Total Circ All Editions" totalsRowFunction="sum" dataDxfId="121" totalsRowDxfId="120">
      <calculatedColumnFormula>Table25[[#This Row],[Total Paid Circulation]]+Table25[[#This Row],[Total Controlled Circulation]]</calculatedColumnFormula>
    </tableColumn>
    <tableColumn id="7" xr3:uid="{00000000-0010-0000-0300-000007000000}" name="Average Total Circ per Edition" totalsRowFunction="custom" dataDxfId="119" totalsRowDxfId="118">
      <totalsRowFormula>Table25[[#Totals],[Total Circ All Editions]]/Table25[[#Totals],[Total '# of Editions]]</totalsRowFormula>
    </tableColumn>
  </tableColumns>
  <tableStyleInfo name="TableStyleMedium1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BAE340F-B2EB-4ED9-8AA3-967AE035AAE2}" name="Table318" displayName="Table318" ref="H4:I18" totalsRowCount="1" headerRowDxfId="117" dataDxfId="116" totalsRowDxfId="115">
  <tableColumns count="2">
    <tableColumn id="2" xr3:uid="{0F7720AB-79B0-4F80-B30C-014465CA5327}" name="Newspaper with Smallest Total Circulation" totalsRowFunction="min" dataDxfId="114" totalsRowDxfId="113"/>
    <tableColumn id="3" xr3:uid="{7974CA6C-FE88-46CE-A385-A888117FD0A0}" name="Newspaper with Largest Total Circulation" totalsRowFunction="max" dataDxfId="112" totalsRowDxfId="111"/>
  </tableColumns>
  <tableStyleInfo name="TableStyleMedium1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5A0AE0D-D024-49DF-ACFF-BA5D6BBF50DF}" name="Table120" displayName="Table120" ref="A22:G36" totalsRowCount="1" headerRowDxfId="110" dataDxfId="109" totalsRowDxfId="108">
  <tableColumns count="7">
    <tableColumn id="1" xr3:uid="{D87038D9-FDD6-4B6F-A159-B706EAE289B8}" name="Province" totalsRowLabel="Total # of Titles" dataDxfId="107" totalsRowDxfId="106"/>
    <tableColumn id="4" xr3:uid="{A6EC9495-EB9A-4092-9719-835B4FFF9FF2}" name="# Titles publishing 3/week" totalsRowFunction="sum" dataDxfId="105" totalsRowDxfId="104"/>
    <tableColumn id="5" xr3:uid="{F3AE1DB8-E98B-4FC6-84EC-5BD40AF4CC2D}" name="# Titles publishing 4/week" totalsRowFunction="sum" dataDxfId="103" totalsRowDxfId="102"/>
    <tableColumn id="6" xr3:uid="{4C29628C-ED20-4A67-9587-8ADF74E1B81E}" name="# Titles publishing 5/week" totalsRowFunction="sum" dataDxfId="101" totalsRowDxfId="100"/>
    <tableColumn id="7" xr3:uid="{A4DAE6B3-A90A-4488-B9A3-E8AF18BF768C}" name="# Titles publishing 6/week" totalsRowFunction="sum" dataDxfId="99" totalsRowDxfId="98"/>
    <tableColumn id="8" xr3:uid="{26C87A0D-9BC2-436B-A826-1B4D9126D162}" name="# Titles publishing 7/week" totalsRowFunction="sum" dataDxfId="97" totalsRowDxfId="96"/>
    <tableColumn id="14" xr3:uid="{8A3D6A51-15CE-47BB-A9D8-46C3841D0E45}" name="Provincial Total" totalsRowFunction="sum" dataDxfId="95" totalsRowDxfId="94">
      <calculatedColumnFormula>SUM(Table120[[#This Row],['# Titles publishing 3/week]:['# Titles publishing 7/week]])</calculatedColumnFormula>
    </tableColumn>
  </tableColumns>
  <tableStyleInfo name="TableStyleMedium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8005D63-8DA8-401A-9834-3B401572236A}" name="Table7" displayName="Table7" ref="A4:C19" totalsRowCount="1" headerRowDxfId="93" dataDxfId="92" totalsRowDxfId="90" tableBorderDxfId="91">
  <tableColumns count="3">
    <tableColumn id="1" xr3:uid="{B57831A3-5378-489A-A476-C2E8C5D492A5}" name="Owner" totalsRowLabel="Total" dataDxfId="89" totalsRowDxfId="88"/>
    <tableColumn id="3" xr3:uid="{A77D03FF-D1DF-4DEF-9DF5-CE626CC32E27}" name="Daily Newspaper" totalsRowFunction="sum" dataDxfId="87" totalsRowDxfId="86"/>
    <tableColumn id="2" xr3:uid="{F078C1A4-CDEC-4F12-89B4-23FA441777C2}" name="Number of Editions" totalsRowFunction="sum" dataDxfId="85" totalsRowDxfId="84" dataCellStyle="Comma"/>
  </tableColumns>
  <tableStyleInfo name="TableStyleMedium1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2432E23-240D-424F-9BFC-DC747D001D2C}" name="Table6" displayName="Table6" ref="A4:O19" totalsRowCount="1" headerRowDxfId="83" dataDxfId="81" totalsRowDxfId="79" headerRowBorderDxfId="82" tableBorderDxfId="80" totalsRowBorderDxfId="78" headerRowCellStyle="Comma" dataCellStyle="Comma">
  <tableColumns count="15">
    <tableColumn id="1" xr3:uid="{BDB71A6B-46CB-45EF-8CFE-C56C4B6981F1}" name="Owner" totalsRowLabel="Total" dataDxfId="77" totalsRowDxfId="76"/>
    <tableColumn id="3" xr3:uid="{43945CE5-6C43-4399-8C1A-157AE94E1946}" name="BC" totalsRowFunction="sum" dataDxfId="75" totalsRowDxfId="74"/>
    <tableColumn id="17" xr3:uid="{08714C7E-A73B-4F98-8376-68C18681FF07}" name="AB" totalsRowFunction="sum" dataDxfId="73" totalsRowDxfId="72" dataCellStyle="Comma"/>
    <tableColumn id="16" xr3:uid="{00EC8822-2064-46A9-87F9-22E9408CA6B1}" name="SK" totalsRowFunction="sum" dataDxfId="71" totalsRowDxfId="70" dataCellStyle="Comma"/>
    <tableColumn id="4" xr3:uid="{16B66580-2AF5-4635-A4C1-FB1FBF3FC88E}" name="MB" totalsRowFunction="sum" dataDxfId="69" totalsRowDxfId="68" dataCellStyle="Comma"/>
    <tableColumn id="19" xr3:uid="{B197CAC8-C824-4A7A-A07F-CD670E4FCF6E}" name="ON" totalsRowFunction="sum" dataDxfId="67" totalsRowDxfId="66" dataCellStyle="Comma"/>
    <tableColumn id="18" xr3:uid="{90A23AA8-DC07-40C3-8E09-C848715C5CE2}" name="QC" totalsRowFunction="sum" dataDxfId="65" totalsRowDxfId="64" dataCellStyle="Comma"/>
    <tableColumn id="5" xr3:uid="{67123443-FA3F-450A-A92F-35DBF94B4DE1}" name="NB" totalsRowFunction="sum" dataDxfId="63" totalsRowDxfId="62"/>
    <tableColumn id="6" xr3:uid="{D09B1B84-84D7-4C1C-B75A-1FE78446DBAE}" name="NL" totalsRowFunction="sum" dataDxfId="61" totalsRowDxfId="60"/>
    <tableColumn id="7" xr3:uid="{3460AB1F-AAEC-441E-BE90-F119F292A44D}" name="NS" totalsRowFunction="sum" dataDxfId="59" totalsRowDxfId="58" dataCellStyle="Comma"/>
    <tableColumn id="20" xr3:uid="{2BB7127D-8EFF-4FCC-92BA-EA43F45AE656}" name="PE" totalsRowFunction="sum" dataDxfId="57" totalsRowDxfId="56" dataCellStyle="Comma"/>
    <tableColumn id="8" xr3:uid="{E4673380-A04B-4006-8FA7-9D29BA13DB31}" name="NT" totalsRowFunction="sum" dataDxfId="55" totalsRowDxfId="54" dataCellStyle="Comma"/>
    <tableColumn id="9" xr3:uid="{D418CBFF-9E6D-45D3-A5C0-47836ABBB6B9}" name="NU" totalsRowFunction="sum" dataDxfId="53" totalsRowDxfId="52" dataCellStyle="Comma"/>
    <tableColumn id="14" xr3:uid="{76D3B3FB-6014-40E2-8AA5-9C2EC7B93B93}" name="YT" totalsRowFunction="sum" dataDxfId="51" totalsRowDxfId="50" dataCellStyle="Comma"/>
    <tableColumn id="15" xr3:uid="{0F35EEF1-CD8E-42F7-B20E-827226D86FB8}" name="Total" totalsRowFunction="sum" dataDxfId="49" totalsRowDxfId="48">
      <calculatedColumnFormula>SUM(Table6[[#This Row],[BC]:[YT]])</calculatedColumnFormula>
    </tableColumn>
  </tableColumns>
  <tableStyleInfo name="TableStyleMedium1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le10" displayName="Table10" ref="A4:F7" totalsRowCount="1" headerRowDxfId="47" dataDxfId="46" totalsRowDxfId="44" tableBorderDxfId="45">
  <tableColumns count="6">
    <tableColumn id="1" xr3:uid="{00000000-0010-0000-0800-000001000000}" name="Circulation Model" totalsRowLabel="Total" dataDxfId="43" totalsRowDxfId="42"/>
    <tableColumn id="2" xr3:uid="{00000000-0010-0000-0800-000002000000}" name="Number of Editions" totalsRowFunction="sum" dataDxfId="41" totalsRowDxfId="40"/>
    <tableColumn id="3" xr3:uid="{00000000-0010-0000-0800-000003000000}" name="Paid Circulation" totalsRowFunction="sum" dataDxfId="39" totalsRowDxfId="38"/>
    <tableColumn id="4" xr3:uid="{00000000-0010-0000-0800-000004000000}" name="Controlled Circulation" totalsRowFunction="sum" dataDxfId="37" totalsRowDxfId="36"/>
    <tableColumn id="5" xr3:uid="{00000000-0010-0000-0800-000005000000}" name="Total Circulation" totalsRowFunction="sum" dataDxfId="35" totalsRowDxfId="34">
      <calculatedColumnFormula>C5+D5</calculatedColumnFormula>
    </tableColumn>
    <tableColumn id="6" xr3:uid="{00000000-0010-0000-0800-000006000000}" name="Average Total Circ Per Edition" totalsRowFunction="custom" dataDxfId="33" totalsRowDxfId="32">
      <totalsRowFormula>Table10[[#Totals],[Total Circulation]]/Table10[[#Totals],[Number of Editions]]</totalsRowFormula>
    </tableColumn>
  </tableColumns>
  <tableStyleInfo name="TableStyleMedium1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54A4419-04B1-45C3-AC36-A4A3C679D119}" name="Table1121" displayName="Table1121" ref="A12:C16" totalsRowCount="1" headerRowDxfId="31" dataDxfId="30" totalsRowDxfId="28" tableBorderDxfId="29">
  <tableColumns count="3">
    <tableColumn id="1" xr3:uid="{DC949208-09B6-4C70-8E71-627542DB3E49}" name="Format" totalsRowLabel="Total" dataDxfId="27" totalsRowDxfId="26"/>
    <tableColumn id="2" xr3:uid="{13DE8D9A-E0EE-43B3-8D05-D0DBFB415ADE}" name="Number of Editions" totalsRowFunction="sum" dataDxfId="25" totalsRowDxfId="24"/>
    <tableColumn id="3" xr3:uid="{28B2B38C-A2E3-4611-AA7C-5D661C0423A8}" name="% Total" totalsRowFunction="sum" dataDxfId="23" totalsRowDxfId="22">
      <calculatedColumnFormula>Table1121[[#This Row],[Number of Editions]]/Table1121[[#Totals],[Number of Editions]]</calculatedColumnFormula>
    </tableColumn>
  </tableColumns>
  <tableStyleInfo name="TableStyleMedium1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376FB10-9826-4562-B130-F81A69E69E17}" name="Table1222" displayName="Table1222" ref="A21:C24" totalsRowCount="1" headerRowDxfId="21" dataDxfId="20" totalsRowDxfId="18" tableBorderDxfId="19">
  <tableColumns count="3">
    <tableColumn id="1" xr3:uid="{B78AFED8-3C98-410C-BDC6-4E20079C14D6}" name="Language of Publication" totalsRowLabel="Total" dataDxfId="17" totalsRowDxfId="16"/>
    <tableColumn id="2" xr3:uid="{EE01F352-581D-450F-A2B7-580E8B68F88C}" name="# Titles" totalsRowFunction="sum" dataDxfId="15" totalsRowDxfId="14"/>
    <tableColumn id="3" xr3:uid="{28CD99D7-19C0-44B3-96F1-DE39A191602F}" name="% Total" totalsRowFunction="sum" dataDxfId="13" totalsRowDxfId="12">
      <calculatedColumnFormula>Table1222[[#This Row],['# Titles]]/Table1222[[#Totals],['# Titles]]</calculatedColumnFormula>
    </tableColumn>
  </tableColumns>
  <tableStyleInfo name="TableStyleMedium1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Table13" displayName="Table13" ref="A4:D18" totalsRowCount="1" headerRowDxfId="11" dataDxfId="10" totalsRowDxfId="8" tableBorderDxfId="9">
  <tableColumns count="4">
    <tableColumn id="1" xr3:uid="{00000000-0010-0000-0B00-000001000000}" name="Province/ Territory" totalsRowLabel="Total" dataDxfId="7" totalsRowDxfId="6"/>
    <tableColumn id="4" xr3:uid="{00000000-0010-0000-0B00-000004000000}" name="# Titles" totalsRowFunction="sum" dataDxfId="5" totalsRowDxfId="4"/>
    <tableColumn id="2" xr3:uid="{00000000-0010-0000-0B00-000002000000}" name="# of Titles with Websites" totalsRowFunction="sum" dataDxfId="3" totalsRowDxfId="2"/>
    <tableColumn id="3" xr3:uid="{00000000-0010-0000-0B00-000003000000}" name="% of Titles with Website" totalsRowFunction="custom" dataDxfId="1" totalsRowDxfId="0">
      <calculatedColumnFormula>Table13[[#This Row],['# of Titles with Websites]]/Table13[[#This Row],['# Titles]]</calculatedColumnFormula>
      <totalsRowFormula>Table13[[#Totals],['# of Titles with Websites]]/Table13[[#Totals],['# Titles]]</totalsRowFormula>
    </tableColumn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0.bin"/><Relationship Id="rId4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2DC52-4C29-4ACB-961F-D54BF0F651F3}">
  <sheetPr>
    <tabColor rgb="FFC00000"/>
  </sheetPr>
  <dimension ref="A1:E20"/>
  <sheetViews>
    <sheetView tabSelected="1" zoomScaleNormal="100" zoomScaleSheetLayoutView="100" workbookViewId="0">
      <selection activeCell="J9" sqref="J9"/>
    </sheetView>
  </sheetViews>
  <sheetFormatPr defaultRowHeight="13.2" x14ac:dyDescent="0.25"/>
  <cols>
    <col min="1" max="1" width="20.21875" customWidth="1"/>
    <col min="2" max="2" width="8.44140625" customWidth="1"/>
    <col min="3" max="3" width="17.33203125" customWidth="1"/>
    <col min="4" max="4" width="17.44140625" customWidth="1"/>
    <col min="5" max="5" width="20.5546875" customWidth="1"/>
  </cols>
  <sheetData>
    <row r="1" spans="1:5" ht="22.8" x14ac:dyDescent="0.25">
      <c r="A1" s="183" t="s">
        <v>76</v>
      </c>
      <c r="B1" s="183"/>
      <c r="C1" s="183"/>
      <c r="D1" s="183"/>
      <c r="E1" s="183"/>
    </row>
    <row r="2" spans="1:5" ht="22.8" x14ac:dyDescent="0.25">
      <c r="A2" s="183" t="s">
        <v>77</v>
      </c>
      <c r="B2" s="183"/>
      <c r="C2" s="183"/>
      <c r="D2" s="183"/>
      <c r="E2" s="183"/>
    </row>
    <row r="3" spans="1:5" ht="13.8" thickBot="1" x14ac:dyDescent="0.3"/>
    <row r="4" spans="1:5" s="42" customFormat="1" ht="28.2" thickBot="1" x14ac:dyDescent="0.3">
      <c r="A4" s="165" t="s">
        <v>78</v>
      </c>
      <c r="B4" s="166" t="s">
        <v>73</v>
      </c>
      <c r="C4" s="165" t="s">
        <v>35</v>
      </c>
      <c r="D4" s="166" t="s">
        <v>36</v>
      </c>
      <c r="E4" s="165" t="s">
        <v>37</v>
      </c>
    </row>
    <row r="5" spans="1:5" ht="18" customHeight="1" x14ac:dyDescent="0.25">
      <c r="A5" s="161" t="s">
        <v>1</v>
      </c>
      <c r="B5" s="162">
        <f>'Community Circulation Overview'!B4+'Daily Circulation Overview'!B5</f>
        <v>127</v>
      </c>
      <c r="C5" s="163">
        <f>'Community Circulation Overview'!D4+'Daily Circulation Overview'!D5</f>
        <v>868616</v>
      </c>
      <c r="D5" s="164">
        <f>'Community Circulation Overview'!E4+'Daily Circulation Overview'!E5</f>
        <v>2212619</v>
      </c>
      <c r="E5" s="163">
        <f>SUM(C5:D5)</f>
        <v>3081235</v>
      </c>
    </row>
    <row r="6" spans="1:5" ht="18" customHeight="1" x14ac:dyDescent="0.25">
      <c r="A6" s="52" t="s">
        <v>0</v>
      </c>
      <c r="B6" s="53">
        <f>'Community Circulation Overview'!B5+'Daily Circulation Overview'!B6</f>
        <v>107</v>
      </c>
      <c r="C6" s="54">
        <f>'Community Circulation Overview'!D5+'Daily Circulation Overview'!D6</f>
        <v>910908</v>
      </c>
      <c r="D6" s="55">
        <f>'Community Circulation Overview'!E5+'Daily Circulation Overview'!E6</f>
        <v>1029361</v>
      </c>
      <c r="E6" s="54">
        <f t="shared" ref="E6:E17" si="0">SUM(C6:D6)</f>
        <v>1940269</v>
      </c>
    </row>
    <row r="7" spans="1:5" ht="18" customHeight="1" x14ac:dyDescent="0.25">
      <c r="A7" s="52" t="s">
        <v>11</v>
      </c>
      <c r="B7" s="53">
        <f>'Community Circulation Overview'!B6+'Daily Circulation Overview'!B7</f>
        <v>60</v>
      </c>
      <c r="C7" s="54">
        <f>'Community Circulation Overview'!D6+'Daily Circulation Overview'!D7</f>
        <v>195226</v>
      </c>
      <c r="D7" s="55">
        <f>'Community Circulation Overview'!E6+'Daily Circulation Overview'!E7</f>
        <v>309987</v>
      </c>
      <c r="E7" s="54">
        <f t="shared" si="0"/>
        <v>505213</v>
      </c>
    </row>
    <row r="8" spans="1:5" ht="18" customHeight="1" x14ac:dyDescent="0.25">
      <c r="A8" s="52" t="s">
        <v>2</v>
      </c>
      <c r="B8" s="53">
        <f>'Community Circulation Overview'!B7+'Daily Circulation Overview'!B8</f>
        <v>41</v>
      </c>
      <c r="C8" s="54">
        <f>'Community Circulation Overview'!D7+'Daily Circulation Overview'!D8</f>
        <v>524039</v>
      </c>
      <c r="D8" s="55">
        <f>'Community Circulation Overview'!E7+'Daily Circulation Overview'!E8</f>
        <v>849626</v>
      </c>
      <c r="E8" s="54">
        <f t="shared" si="0"/>
        <v>1373665</v>
      </c>
    </row>
    <row r="9" spans="1:5" ht="18" customHeight="1" x14ac:dyDescent="0.25">
      <c r="A9" s="52" t="s">
        <v>8</v>
      </c>
      <c r="B9" s="53">
        <f>'Community Circulation Overview'!B8+'Daily Circulation Overview'!B9</f>
        <v>357</v>
      </c>
      <c r="C9" s="54">
        <f>'Community Circulation Overview'!D8+'Daily Circulation Overview'!D9</f>
        <v>4268818</v>
      </c>
      <c r="D9" s="55">
        <f>'Community Circulation Overview'!E8+'Daily Circulation Overview'!E9</f>
        <v>6303852</v>
      </c>
      <c r="E9" s="54">
        <f t="shared" si="0"/>
        <v>10572670</v>
      </c>
    </row>
    <row r="10" spans="1:5" ht="18" customHeight="1" x14ac:dyDescent="0.25">
      <c r="A10" s="52" t="s">
        <v>10</v>
      </c>
      <c r="B10" s="53">
        <f>'Community Circulation Overview'!B9+'Daily Circulation Overview'!B10</f>
        <v>247</v>
      </c>
      <c r="C10" s="54">
        <f>'Community Circulation Overview'!D9+'Daily Circulation Overview'!D10</f>
        <v>2859436</v>
      </c>
      <c r="D10" s="55">
        <f>'Community Circulation Overview'!E9+'Daily Circulation Overview'!E10</f>
        <v>7848453</v>
      </c>
      <c r="E10" s="54">
        <f t="shared" si="0"/>
        <v>10707889</v>
      </c>
    </row>
    <row r="11" spans="1:5" ht="18" customHeight="1" x14ac:dyDescent="0.25">
      <c r="A11" s="52" t="s">
        <v>3</v>
      </c>
      <c r="B11" s="53">
        <f>'Community Circulation Overview'!B10+'Daily Circulation Overview'!B11</f>
        <v>25</v>
      </c>
      <c r="C11" s="54">
        <f>'Community Circulation Overview'!D10+'Daily Circulation Overview'!D11</f>
        <v>358327</v>
      </c>
      <c r="D11" s="55">
        <f>'Community Circulation Overview'!E10+'Daily Circulation Overview'!E11</f>
        <v>169452</v>
      </c>
      <c r="E11" s="54">
        <f t="shared" si="0"/>
        <v>527779</v>
      </c>
    </row>
    <row r="12" spans="1:5" ht="18" customHeight="1" x14ac:dyDescent="0.25">
      <c r="A12" s="52" t="s">
        <v>4</v>
      </c>
      <c r="B12" s="53">
        <f>'Community Circulation Overview'!B11+'Daily Circulation Overview'!B12</f>
        <v>11</v>
      </c>
      <c r="C12" s="54">
        <f>'Community Circulation Overview'!D11+'Daily Circulation Overview'!D12</f>
        <v>61569</v>
      </c>
      <c r="D12" s="55">
        <f>'Community Circulation Overview'!E11+'Daily Circulation Overview'!E12</f>
        <v>131388</v>
      </c>
      <c r="E12" s="54">
        <f t="shared" si="0"/>
        <v>192957</v>
      </c>
    </row>
    <row r="13" spans="1:5" ht="18" customHeight="1" x14ac:dyDescent="0.25">
      <c r="A13" s="52" t="s">
        <v>5</v>
      </c>
      <c r="B13" s="53">
        <f>'Community Circulation Overview'!B12+'Daily Circulation Overview'!B13</f>
        <v>28</v>
      </c>
      <c r="C13" s="54">
        <f>'Community Circulation Overview'!D12+'Daily Circulation Overview'!D13</f>
        <v>404407</v>
      </c>
      <c r="D13" s="55">
        <f>'Community Circulation Overview'!E12+'Daily Circulation Overview'!E13</f>
        <v>483555</v>
      </c>
      <c r="E13" s="54">
        <f t="shared" si="0"/>
        <v>887962</v>
      </c>
    </row>
    <row r="14" spans="1:5" ht="18" customHeight="1" x14ac:dyDescent="0.25">
      <c r="A14" s="52" t="s">
        <v>9</v>
      </c>
      <c r="B14" s="53">
        <f>'Community Circulation Overview'!B13+'Daily Circulation Overview'!B14</f>
        <v>6</v>
      </c>
      <c r="C14" s="54">
        <f>'Community Circulation Overview'!D13+'Daily Circulation Overview'!D14</f>
        <v>92802</v>
      </c>
      <c r="D14" s="55">
        <f>'Community Circulation Overview'!E13+'Daily Circulation Overview'!E14</f>
        <v>9686</v>
      </c>
      <c r="E14" s="54">
        <f t="shared" si="0"/>
        <v>102488</v>
      </c>
    </row>
    <row r="15" spans="1:5" ht="18" customHeight="1" x14ac:dyDescent="0.25">
      <c r="A15" s="52" t="s">
        <v>6</v>
      </c>
      <c r="B15" s="53">
        <f>'Community Circulation Overview'!B14+'Daily Circulation Overview'!B15</f>
        <v>5</v>
      </c>
      <c r="C15" s="54">
        <f>'Community Circulation Overview'!D14+'Daily Circulation Overview'!D15</f>
        <v>7943</v>
      </c>
      <c r="D15" s="55">
        <f>'Community Circulation Overview'!E14+'Daily Circulation Overview'!E15</f>
        <v>3756</v>
      </c>
      <c r="E15" s="54">
        <f t="shared" si="0"/>
        <v>11699</v>
      </c>
    </row>
    <row r="16" spans="1:5" ht="18" customHeight="1" x14ac:dyDescent="0.25">
      <c r="A16" s="52" t="s">
        <v>7</v>
      </c>
      <c r="B16" s="53">
        <f>'Community Circulation Overview'!B15+'Daily Circulation Overview'!B16</f>
        <v>3</v>
      </c>
      <c r="C16" s="54">
        <f>'Community Circulation Overview'!D15+'Daily Circulation Overview'!D16</f>
        <v>2456</v>
      </c>
      <c r="D16" s="55">
        <f>'Community Circulation Overview'!E15+'Daily Circulation Overview'!E16</f>
        <v>7487</v>
      </c>
      <c r="E16" s="54">
        <f t="shared" si="0"/>
        <v>9943</v>
      </c>
    </row>
    <row r="17" spans="1:5" ht="18" customHeight="1" thickBot="1" x14ac:dyDescent="0.3">
      <c r="A17" s="56" t="s">
        <v>12</v>
      </c>
      <c r="B17" s="57">
        <f>'Community Circulation Overview'!B16+'Daily Circulation Overview'!B17</f>
        <v>3</v>
      </c>
      <c r="C17" s="58">
        <f>'Community Circulation Overview'!D16+'Daily Circulation Overview'!D17</f>
        <v>6579</v>
      </c>
      <c r="D17" s="59">
        <f>'Community Circulation Overview'!E16+'Daily Circulation Overview'!E17</f>
        <v>5865</v>
      </c>
      <c r="E17" s="58">
        <f t="shared" si="0"/>
        <v>12444</v>
      </c>
    </row>
    <row r="18" spans="1:5" ht="18.600000000000001" customHeight="1" thickBot="1" x14ac:dyDescent="0.3">
      <c r="A18" s="61" t="s">
        <v>14</v>
      </c>
      <c r="B18" s="60">
        <f>SUM(B5:B17)</f>
        <v>1020</v>
      </c>
      <c r="C18" s="62">
        <f>SUM(C5:C17)</f>
        <v>10561126</v>
      </c>
      <c r="D18" s="60">
        <f t="shared" ref="D18:E18" si="1">SUM(D5:D17)</f>
        <v>19365087</v>
      </c>
      <c r="E18" s="62">
        <f t="shared" si="1"/>
        <v>29926213</v>
      </c>
    </row>
    <row r="20" spans="1:5" x14ac:dyDescent="0.25">
      <c r="A20" s="15" t="s">
        <v>121</v>
      </c>
    </row>
  </sheetData>
  <mergeCells count="2">
    <mergeCell ref="A1:E1"/>
    <mergeCell ref="A2:E2"/>
  </mergeCells>
  <printOptions horizontalCentered="1"/>
  <pageMargins left="0.25" right="0.25" top="0.75" bottom="0.5" header="0.3" footer="0.3"/>
  <pageSetup orientation="landscape" r:id="rId1"/>
  <headerFooter scaleWithDoc="0">
    <oddHeader>&amp;C&amp;"Arial,Bold"&amp;14Snapshot 2022 Canada's Newspaper Industry</oddHeader>
    <oddFooter>&amp;LNews Media Canada&amp;C&amp;P&amp;RJuly 2022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"/>
  <sheetViews>
    <sheetView topLeftCell="A7" zoomScaleNormal="100" zoomScaleSheetLayoutView="100" workbookViewId="0"/>
  </sheetViews>
  <sheetFormatPr defaultRowHeight="13.2" x14ac:dyDescent="0.25"/>
  <cols>
    <col min="1" max="1" width="28.44140625" customWidth="1"/>
    <col min="2" max="2" width="11.77734375" style="1" bestFit="1" customWidth="1"/>
    <col min="3" max="3" width="12.33203125" style="1" bestFit="1" customWidth="1"/>
    <col min="4" max="4" width="11.6640625" style="1" bestFit="1" customWidth="1"/>
    <col min="5" max="5" width="12.33203125" style="1" bestFit="1" customWidth="1"/>
    <col min="6" max="6" width="16.21875" style="1" bestFit="1" customWidth="1"/>
  </cols>
  <sheetData>
    <row r="1" spans="1:6" ht="23.4" x14ac:dyDescent="0.45">
      <c r="A1" s="2" t="s">
        <v>25</v>
      </c>
    </row>
    <row r="2" spans="1:6" ht="23.4" x14ac:dyDescent="0.45">
      <c r="A2" s="2" t="s">
        <v>64</v>
      </c>
    </row>
    <row r="4" spans="1:6" s="42" customFormat="1" ht="27.6" x14ac:dyDescent="0.25">
      <c r="A4" s="125" t="s">
        <v>107</v>
      </c>
      <c r="B4" s="126" t="s">
        <v>34</v>
      </c>
      <c r="C4" s="126" t="s">
        <v>35</v>
      </c>
      <c r="D4" s="126" t="s">
        <v>36</v>
      </c>
      <c r="E4" s="126" t="s">
        <v>37</v>
      </c>
      <c r="F4" s="126" t="s">
        <v>38</v>
      </c>
    </row>
    <row r="5" spans="1:6" s="8" customFormat="1" ht="13.8" x14ac:dyDescent="0.25">
      <c r="A5" s="8" t="s">
        <v>39</v>
      </c>
      <c r="B5" s="113">
        <v>18</v>
      </c>
      <c r="C5" s="113">
        <v>56724</v>
      </c>
      <c r="D5" s="113">
        <v>2837978</v>
      </c>
      <c r="E5" s="113">
        <f>C5+D5</f>
        <v>2894702</v>
      </c>
      <c r="F5" s="113">
        <v>132053</v>
      </c>
    </row>
    <row r="6" spans="1:6" s="8" customFormat="1" ht="13.8" x14ac:dyDescent="0.25">
      <c r="A6" s="8" t="s">
        <v>40</v>
      </c>
      <c r="B6" s="113">
        <v>398</v>
      </c>
      <c r="C6" s="113">
        <v>10032988</v>
      </c>
      <c r="D6" s="113">
        <v>3154417</v>
      </c>
      <c r="E6" s="113">
        <f>C6+D6</f>
        <v>13187405</v>
      </c>
      <c r="F6" s="113">
        <v>38138</v>
      </c>
    </row>
    <row r="7" spans="1:6" s="8" customFormat="1" ht="13.8" x14ac:dyDescent="0.25">
      <c r="A7" s="8" t="s">
        <v>14</v>
      </c>
      <c r="B7" s="40">
        <f>SUBTOTAL(109,Table10[Number of Editions])</f>
        <v>416</v>
      </c>
      <c r="C7" s="40">
        <f>SUBTOTAL(109,Table10[Paid Circulation])</f>
        <v>10089712</v>
      </c>
      <c r="D7" s="40">
        <f>SUBTOTAL(109,Table10[Controlled Circulation])</f>
        <v>5992395</v>
      </c>
      <c r="E7" s="40">
        <f>SUBTOTAL(109,Table10[Total Circulation])</f>
        <v>16082107</v>
      </c>
      <c r="F7" s="40">
        <f>Table10[[#Totals],[Total Circulation]]/Table10[[#Totals],[Number of Editions]]</f>
        <v>38658.911057692305</v>
      </c>
    </row>
    <row r="9" spans="1:6" ht="23.4" x14ac:dyDescent="0.45">
      <c r="A9" s="2" t="s">
        <v>26</v>
      </c>
      <c r="B9"/>
      <c r="C9" s="4"/>
    </row>
    <row r="10" spans="1:6" ht="23.4" x14ac:dyDescent="0.45">
      <c r="A10" s="2" t="s">
        <v>64</v>
      </c>
      <c r="B10"/>
      <c r="C10" s="4"/>
    </row>
    <row r="11" spans="1:6" x14ac:dyDescent="0.25">
      <c r="B11"/>
      <c r="C11" s="4"/>
    </row>
    <row r="12" spans="1:6" s="42" customFormat="1" ht="27.6" x14ac:dyDescent="0.25">
      <c r="A12" s="42" t="s">
        <v>41</v>
      </c>
      <c r="B12" s="125" t="s">
        <v>34</v>
      </c>
      <c r="C12" s="128" t="s">
        <v>49</v>
      </c>
      <c r="D12" s="43"/>
      <c r="E12" s="43"/>
      <c r="F12" s="43"/>
    </row>
    <row r="13" spans="1:6" s="8" customFormat="1" ht="13.8" x14ac:dyDescent="0.25">
      <c r="A13" s="8" t="s">
        <v>65</v>
      </c>
      <c r="B13" s="8">
        <v>7</v>
      </c>
      <c r="C13" s="129">
        <f>Table1121[[#This Row],[Number of Editions]]/Table1121[[#Totals],[Number of Editions]]</f>
        <v>1.6826923076923076E-2</v>
      </c>
      <c r="D13" s="6"/>
      <c r="E13" s="6"/>
      <c r="F13" s="6"/>
    </row>
    <row r="14" spans="1:6" s="8" customFormat="1" ht="13.8" x14ac:dyDescent="0.25">
      <c r="A14" s="8" t="s">
        <v>42</v>
      </c>
      <c r="B14" s="8">
        <v>301</v>
      </c>
      <c r="C14" s="129">
        <f>Table1121[[#This Row],[Number of Editions]]/Table1121[[#Totals],[Number of Editions]]</f>
        <v>0.72355769230769229</v>
      </c>
      <c r="D14" s="6"/>
      <c r="E14" s="6"/>
      <c r="F14" s="6"/>
    </row>
    <row r="15" spans="1:6" s="8" customFormat="1" ht="13.8" x14ac:dyDescent="0.25">
      <c r="A15" s="8" t="s">
        <v>43</v>
      </c>
      <c r="B15" s="8">
        <v>108</v>
      </c>
      <c r="C15" s="129">
        <f>Table1121[[#This Row],[Number of Editions]]/Table1121[[#Totals],[Number of Editions]]</f>
        <v>0.25961538461538464</v>
      </c>
      <c r="D15" s="6"/>
      <c r="E15" s="6"/>
      <c r="F15" s="6"/>
    </row>
    <row r="16" spans="1:6" s="8" customFormat="1" ht="13.8" x14ac:dyDescent="0.25">
      <c r="A16" s="8" t="s">
        <v>14</v>
      </c>
      <c r="B16" s="8">
        <f>SUBTOTAL(109,Table1121[Number of Editions])</f>
        <v>416</v>
      </c>
      <c r="C16" s="130">
        <f>SUBTOTAL(109,Table1121[% Total])</f>
        <v>1</v>
      </c>
      <c r="D16" s="6"/>
      <c r="E16" s="6"/>
      <c r="F16" s="6"/>
    </row>
    <row r="18" spans="1:6" ht="23.4" x14ac:dyDescent="0.45">
      <c r="A18" s="2" t="s">
        <v>27</v>
      </c>
      <c r="B18"/>
      <c r="C18" s="4"/>
    </row>
    <row r="19" spans="1:6" ht="23.4" x14ac:dyDescent="0.45">
      <c r="A19" s="2" t="s">
        <v>64</v>
      </c>
      <c r="B19"/>
      <c r="C19" s="4"/>
    </row>
    <row r="20" spans="1:6" x14ac:dyDescent="0.25">
      <c r="B20"/>
      <c r="C20" s="4"/>
    </row>
    <row r="21" spans="1:6" s="42" customFormat="1" ht="13.8" x14ac:dyDescent="0.25">
      <c r="A21" s="42" t="s">
        <v>48</v>
      </c>
      <c r="B21" s="42" t="s">
        <v>29</v>
      </c>
      <c r="C21" s="128" t="s">
        <v>49</v>
      </c>
      <c r="D21" s="43"/>
      <c r="E21" s="43"/>
      <c r="F21" s="43"/>
    </row>
    <row r="22" spans="1:6" s="8" customFormat="1" ht="13.8" x14ac:dyDescent="0.25">
      <c r="A22" s="8" t="s">
        <v>44</v>
      </c>
      <c r="B22" s="8">
        <v>59</v>
      </c>
      <c r="C22" s="129">
        <f>Table1222[[#This Row],['# Titles]]/Table1222[[#Totals],['# Titles]]</f>
        <v>0.83098591549295775</v>
      </c>
      <c r="D22" s="6"/>
      <c r="E22" s="6"/>
      <c r="F22" s="6"/>
    </row>
    <row r="23" spans="1:6" s="8" customFormat="1" ht="13.8" x14ac:dyDescent="0.25">
      <c r="A23" s="8" t="s">
        <v>45</v>
      </c>
      <c r="B23" s="8">
        <v>12</v>
      </c>
      <c r="C23" s="129">
        <f>Table1222[[#This Row],['# Titles]]/Table1222[[#Totals],['# Titles]]</f>
        <v>0.16901408450704225</v>
      </c>
      <c r="D23" s="6"/>
      <c r="E23" s="6"/>
      <c r="F23" s="6"/>
    </row>
    <row r="24" spans="1:6" s="8" customFormat="1" ht="13.8" x14ac:dyDescent="0.25">
      <c r="A24" s="8" t="s">
        <v>14</v>
      </c>
      <c r="B24" s="8">
        <f>SUBTOTAL(109,Table1222['# Titles])</f>
        <v>71</v>
      </c>
      <c r="C24" s="130">
        <f>SUBTOTAL(109,Table1222[% Total])</f>
        <v>1</v>
      </c>
      <c r="D24" s="6"/>
      <c r="E24" s="6"/>
      <c r="F24" s="6"/>
    </row>
    <row r="26" spans="1:6" x14ac:dyDescent="0.25">
      <c r="A26" s="5" t="s">
        <v>121</v>
      </c>
    </row>
    <row r="39" spans="2:2" ht="13.8" x14ac:dyDescent="0.25">
      <c r="B39" s="6"/>
    </row>
  </sheetData>
  <printOptions horizontalCentered="1"/>
  <pageMargins left="0.25" right="0.25" top="0.75" bottom="0.5" header="0.3" footer="0.3"/>
  <pageSetup orientation="landscape" r:id="rId1"/>
  <headerFooter scaleWithDoc="0">
    <oddHeader>&amp;C&amp;"Arial,Bold"&amp;14Snapshot 2022 Canada's Newspaper Industry</oddHeader>
    <oddFooter>&amp;LNews Media Canada&amp;C&amp;P&amp;RJuly 2022</oddFooter>
  </headerFooter>
  <tableParts count="3">
    <tablePart r:id="rId2"/>
    <tablePart r:id="rId3"/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7"/>
  <sheetViews>
    <sheetView zoomScaleNormal="100" zoomScaleSheetLayoutView="100" workbookViewId="0">
      <selection sqref="A1:E1"/>
    </sheetView>
  </sheetViews>
  <sheetFormatPr defaultRowHeight="13.2" x14ac:dyDescent="0.25"/>
  <cols>
    <col min="1" max="1" width="12" customWidth="1"/>
    <col min="2" max="2" width="6.33203125" style="1" bestFit="1" customWidth="1"/>
    <col min="3" max="3" width="17" style="1" customWidth="1"/>
    <col min="4" max="4" width="15" style="4" customWidth="1"/>
  </cols>
  <sheetData>
    <row r="1" spans="1:4" ht="23.4" x14ac:dyDescent="0.45">
      <c r="A1" s="2" t="s">
        <v>66</v>
      </c>
    </row>
    <row r="2" spans="1:4" ht="23.4" x14ac:dyDescent="0.45">
      <c r="A2" s="2" t="s">
        <v>64</v>
      </c>
    </row>
    <row r="4" spans="1:4" s="7" customFormat="1" ht="27.6" x14ac:dyDescent="0.25">
      <c r="A4" s="125" t="s">
        <v>78</v>
      </c>
      <c r="B4" s="126" t="s">
        <v>29</v>
      </c>
      <c r="C4" s="126" t="s">
        <v>50</v>
      </c>
      <c r="D4" s="131" t="s">
        <v>118</v>
      </c>
    </row>
    <row r="5" spans="1:4" s="8" customFormat="1" ht="13.8" x14ac:dyDescent="0.25">
      <c r="A5" s="8" t="s">
        <v>1</v>
      </c>
      <c r="B5" s="157">
        <v>5</v>
      </c>
      <c r="C5" s="157">
        <v>5</v>
      </c>
      <c r="D5" s="158">
        <f>Table13[[#This Row],['# of Titles with Websites]]/Table13[[#This Row],['# Titles]]</f>
        <v>1</v>
      </c>
    </row>
    <row r="6" spans="1:4" s="8" customFormat="1" ht="13.8" x14ac:dyDescent="0.25">
      <c r="A6" s="8" t="s">
        <v>0</v>
      </c>
      <c r="B6" s="157">
        <v>7</v>
      </c>
      <c r="C6" s="157">
        <v>7</v>
      </c>
      <c r="D6" s="158">
        <f>Table13[[#This Row],['# of Titles with Websites]]/Table13[[#This Row],['# Titles]]</f>
        <v>1</v>
      </c>
    </row>
    <row r="7" spans="1:4" s="8" customFormat="1" ht="13.8" x14ac:dyDescent="0.25">
      <c r="A7" s="8" t="s">
        <v>11</v>
      </c>
      <c r="B7" s="157">
        <v>3</v>
      </c>
      <c r="C7" s="157">
        <v>3</v>
      </c>
      <c r="D7" s="158">
        <f>Table13[[#This Row],['# of Titles with Websites]]/Table13[[#This Row],['# Titles]]</f>
        <v>1</v>
      </c>
    </row>
    <row r="8" spans="1:4" s="8" customFormat="1" ht="13.8" x14ac:dyDescent="0.25">
      <c r="A8" s="8" t="s">
        <v>2</v>
      </c>
      <c r="B8" s="157">
        <v>3</v>
      </c>
      <c r="C8" s="157">
        <v>3</v>
      </c>
      <c r="D8" s="158">
        <f>Table13[[#This Row],['# of Titles with Websites]]/Table13[[#This Row],['# Titles]]</f>
        <v>1</v>
      </c>
    </row>
    <row r="9" spans="1:4" s="8" customFormat="1" ht="13.8" x14ac:dyDescent="0.25">
      <c r="A9" s="8" t="s">
        <v>8</v>
      </c>
      <c r="B9" s="157">
        <v>32</v>
      </c>
      <c r="C9" s="157">
        <v>32</v>
      </c>
      <c r="D9" s="158">
        <f>Table13[[#This Row],['# of Titles with Websites]]/Table13[[#This Row],['# Titles]]</f>
        <v>1</v>
      </c>
    </row>
    <row r="10" spans="1:4" s="8" customFormat="1" ht="13.8" x14ac:dyDescent="0.25">
      <c r="A10" s="8" t="s">
        <v>10</v>
      </c>
      <c r="B10" s="157">
        <v>12</v>
      </c>
      <c r="C10" s="157">
        <v>12</v>
      </c>
      <c r="D10" s="158">
        <f>Table13[[#This Row],['# of Titles with Websites]]/Table13[[#This Row],['# Titles]]</f>
        <v>1</v>
      </c>
    </row>
    <row r="11" spans="1:4" s="8" customFormat="1" ht="13.8" x14ac:dyDescent="0.25">
      <c r="A11" s="8" t="s">
        <v>3</v>
      </c>
      <c r="B11" s="157">
        <v>4</v>
      </c>
      <c r="C11" s="157">
        <v>4</v>
      </c>
      <c r="D11" s="158">
        <f>Table13[[#This Row],['# of Titles with Websites]]/Table13[[#This Row],['# Titles]]</f>
        <v>1</v>
      </c>
    </row>
    <row r="12" spans="1:4" s="8" customFormat="1" ht="13.8" x14ac:dyDescent="0.25">
      <c r="A12" s="8" t="s">
        <v>4</v>
      </c>
      <c r="B12" s="157">
        <v>1</v>
      </c>
      <c r="C12" s="157">
        <v>1</v>
      </c>
      <c r="D12" s="158">
        <f>Table13[[#This Row],['# of Titles with Websites]]/Table13[[#This Row],['# Titles]]</f>
        <v>1</v>
      </c>
    </row>
    <row r="13" spans="1:4" s="8" customFormat="1" ht="13.8" x14ac:dyDescent="0.25">
      <c r="A13" s="8" t="s">
        <v>5</v>
      </c>
      <c r="B13" s="157">
        <v>2</v>
      </c>
      <c r="C13" s="157">
        <v>2</v>
      </c>
      <c r="D13" s="158">
        <f>Table13[[#This Row],['# of Titles with Websites]]/Table13[[#This Row],['# Titles]]</f>
        <v>1</v>
      </c>
    </row>
    <row r="14" spans="1:4" s="8" customFormat="1" ht="13.8" x14ac:dyDescent="0.25">
      <c r="A14" s="8" t="s">
        <v>9</v>
      </c>
      <c r="B14" s="157">
        <v>2</v>
      </c>
      <c r="C14" s="157">
        <v>2</v>
      </c>
      <c r="D14" s="158">
        <f>Table13[[#This Row],['# of Titles with Websites]]/Table13[[#This Row],['# Titles]]</f>
        <v>1</v>
      </c>
    </row>
    <row r="15" spans="1:4" s="8" customFormat="1" ht="13.8" x14ac:dyDescent="0.25">
      <c r="A15" s="8" t="s">
        <v>6</v>
      </c>
      <c r="B15" s="157">
        <v>0</v>
      </c>
      <c r="C15" s="157">
        <v>0</v>
      </c>
      <c r="D15" s="158"/>
    </row>
    <row r="16" spans="1:4" s="8" customFormat="1" ht="13.8" x14ac:dyDescent="0.25">
      <c r="A16" s="8" t="s">
        <v>7</v>
      </c>
      <c r="B16" s="157">
        <v>0</v>
      </c>
      <c r="C16" s="157">
        <v>0</v>
      </c>
      <c r="D16" s="158"/>
    </row>
    <row r="17" spans="1:4" s="8" customFormat="1" ht="13.8" x14ac:dyDescent="0.25">
      <c r="A17" s="8" t="s">
        <v>12</v>
      </c>
      <c r="B17" s="157">
        <v>0</v>
      </c>
      <c r="C17" s="157">
        <v>0</v>
      </c>
      <c r="D17" s="158"/>
    </row>
    <row r="18" spans="1:4" s="8" customFormat="1" ht="13.8" x14ac:dyDescent="0.25">
      <c r="A18" s="8" t="s">
        <v>14</v>
      </c>
      <c r="B18" s="159">
        <f>SUBTOTAL(109,Table13['# Titles])</f>
        <v>71</v>
      </c>
      <c r="C18" s="159">
        <f>SUBTOTAL(109,Table13['# of Titles with Websites])</f>
        <v>71</v>
      </c>
      <c r="D18" s="160">
        <f>Table13[[#Totals],['# of Titles with Websites]]/Table13[[#Totals],['# Titles]]</f>
        <v>1</v>
      </c>
    </row>
    <row r="20" spans="1:4" x14ac:dyDescent="0.25">
      <c r="A20" s="5" t="s">
        <v>121</v>
      </c>
    </row>
    <row r="37" spans="2:2" ht="13.8" x14ac:dyDescent="0.25">
      <c r="B37" s="6"/>
    </row>
  </sheetData>
  <printOptions horizontalCentered="1"/>
  <pageMargins left="0.25" right="0.25" top="0.75" bottom="0.5" header="0.3" footer="0.3"/>
  <pageSetup orientation="landscape" r:id="rId1"/>
  <headerFooter scaleWithDoc="0">
    <oddHeader>&amp;C&amp;"Arial,Bold"&amp;14Snapshot 2022 Canada's Newspaper Industry</oddHeader>
    <oddFooter>&amp;LNews Media Canada&amp;C&amp;P&amp;RJuly 2022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5B6DC-9E03-48CB-B869-F8C30F6B3D71}">
  <sheetPr>
    <tabColor theme="4"/>
  </sheetPr>
  <dimension ref="A1:G57"/>
  <sheetViews>
    <sheetView zoomScaleNormal="100" zoomScaleSheetLayoutView="100" workbookViewId="0">
      <pane xSplit="1" ySplit="3" topLeftCell="B4" activePane="bottomRight" state="frozen"/>
      <selection sqref="A1:E1"/>
      <selection pane="topRight" sqref="A1:E1"/>
      <selection pane="bottomLeft" sqref="A1:E1"/>
      <selection pane="bottomRight" sqref="A1:G1"/>
    </sheetView>
  </sheetViews>
  <sheetFormatPr defaultRowHeight="13.2" x14ac:dyDescent="0.25"/>
  <cols>
    <col min="1" max="1" width="18.6640625" customWidth="1"/>
    <col min="2" max="2" width="14.77734375" customWidth="1"/>
    <col min="3" max="3" width="14.21875" customWidth="1"/>
    <col min="4" max="4" width="11.77734375" customWidth="1"/>
    <col min="5" max="6" width="12.33203125" bestFit="1" customWidth="1"/>
    <col min="7" max="7" width="12.33203125" customWidth="1"/>
  </cols>
  <sheetData>
    <row r="1" spans="1:7" ht="22.8" x14ac:dyDescent="0.25">
      <c r="A1" s="184" t="s">
        <v>79</v>
      </c>
      <c r="B1" s="184"/>
      <c r="C1" s="184"/>
      <c r="D1" s="184"/>
      <c r="E1" s="184"/>
      <c r="F1" s="184"/>
      <c r="G1" s="184"/>
    </row>
    <row r="2" spans="1:7" ht="13.8" thickBot="1" x14ac:dyDescent="0.3"/>
    <row r="3" spans="1:7" s="42" customFormat="1" ht="41.4" x14ac:dyDescent="0.25">
      <c r="A3" s="44" t="s">
        <v>78</v>
      </c>
      <c r="B3" s="46" t="s">
        <v>80</v>
      </c>
      <c r="C3" s="46" t="s">
        <v>81</v>
      </c>
      <c r="D3" s="45" t="s">
        <v>40</v>
      </c>
      <c r="E3" s="45" t="s">
        <v>39</v>
      </c>
      <c r="F3" s="45" t="s">
        <v>119</v>
      </c>
      <c r="G3" s="63" t="s">
        <v>120</v>
      </c>
    </row>
    <row r="4" spans="1:7" ht="13.8" x14ac:dyDescent="0.25">
      <c r="A4" s="64" t="s">
        <v>1</v>
      </c>
      <c r="B4" s="22">
        <v>122</v>
      </c>
      <c r="C4" s="22">
        <v>147</v>
      </c>
      <c r="D4" s="13">
        <v>40245</v>
      </c>
      <c r="E4" s="13">
        <v>1979076</v>
      </c>
      <c r="F4" s="22">
        <f>SUM(D4:E4)</f>
        <v>2019321</v>
      </c>
      <c r="G4" s="65">
        <v>13819</v>
      </c>
    </row>
    <row r="5" spans="1:7" ht="13.8" x14ac:dyDescent="0.25">
      <c r="A5" s="64" t="s">
        <v>0</v>
      </c>
      <c r="B5" s="22">
        <v>100</v>
      </c>
      <c r="C5" s="22">
        <v>102</v>
      </c>
      <c r="D5" s="13">
        <v>61319</v>
      </c>
      <c r="E5" s="13">
        <v>630086</v>
      </c>
      <c r="F5" s="22">
        <f t="shared" ref="F5:F16" si="0">SUM(D5:E5)</f>
        <v>691405</v>
      </c>
      <c r="G5" s="65">
        <v>6778</v>
      </c>
    </row>
    <row r="6" spans="1:7" ht="13.8" x14ac:dyDescent="0.25">
      <c r="A6" s="64" t="s">
        <v>11</v>
      </c>
      <c r="B6" s="22">
        <v>57</v>
      </c>
      <c r="C6" s="22">
        <v>57</v>
      </c>
      <c r="D6" s="13">
        <v>34323</v>
      </c>
      <c r="E6" s="13">
        <v>256660</v>
      </c>
      <c r="F6" s="22">
        <f t="shared" si="0"/>
        <v>290983</v>
      </c>
      <c r="G6" s="65">
        <v>5105</v>
      </c>
    </row>
    <row r="7" spans="1:7" ht="13.8" x14ac:dyDescent="0.25">
      <c r="A7" s="64" t="s">
        <v>2</v>
      </c>
      <c r="B7" s="22">
        <v>38</v>
      </c>
      <c r="C7" s="22">
        <v>38</v>
      </c>
      <c r="D7" s="13">
        <v>29016</v>
      </c>
      <c r="E7" s="13">
        <v>378500</v>
      </c>
      <c r="F7" s="22">
        <f t="shared" si="0"/>
        <v>407516</v>
      </c>
      <c r="G7" s="65">
        <v>10724</v>
      </c>
    </row>
    <row r="8" spans="1:7" ht="13.8" x14ac:dyDescent="0.25">
      <c r="A8" s="64" t="s">
        <v>8</v>
      </c>
      <c r="B8" s="22">
        <v>325</v>
      </c>
      <c r="C8" s="22">
        <v>328</v>
      </c>
      <c r="D8" s="13">
        <v>160855</v>
      </c>
      <c r="E8" s="13">
        <v>4993762</v>
      </c>
      <c r="F8" s="22">
        <f t="shared" si="0"/>
        <v>5154617</v>
      </c>
      <c r="G8" s="65">
        <v>15760</v>
      </c>
    </row>
    <row r="9" spans="1:7" ht="13.8" x14ac:dyDescent="0.25">
      <c r="A9" s="64" t="s">
        <v>10</v>
      </c>
      <c r="B9" s="22">
        <v>235</v>
      </c>
      <c r="C9" s="22">
        <v>237</v>
      </c>
      <c r="D9" s="13">
        <v>68195</v>
      </c>
      <c r="E9" s="13">
        <v>4458597</v>
      </c>
      <c r="F9" s="22">
        <f t="shared" si="0"/>
        <v>4526792</v>
      </c>
      <c r="G9" s="65">
        <v>19100</v>
      </c>
    </row>
    <row r="10" spans="1:7" ht="13.8" x14ac:dyDescent="0.25">
      <c r="A10" s="64" t="s">
        <v>3</v>
      </c>
      <c r="B10" s="22">
        <v>21</v>
      </c>
      <c r="C10" s="22">
        <v>22</v>
      </c>
      <c r="D10" s="13">
        <v>27295</v>
      </c>
      <c r="E10" s="13">
        <v>161640</v>
      </c>
      <c r="F10" s="22">
        <f t="shared" si="0"/>
        <v>188935</v>
      </c>
      <c r="G10" s="65">
        <v>8588</v>
      </c>
    </row>
    <row r="11" spans="1:7" ht="13.8" x14ac:dyDescent="0.25">
      <c r="A11" s="64" t="s">
        <v>4</v>
      </c>
      <c r="B11" s="22">
        <v>10</v>
      </c>
      <c r="C11" s="22">
        <v>10</v>
      </c>
      <c r="D11" s="13">
        <v>3342</v>
      </c>
      <c r="E11" s="13">
        <v>81133</v>
      </c>
      <c r="F11" s="22">
        <f t="shared" si="0"/>
        <v>84475</v>
      </c>
      <c r="G11" s="65">
        <v>8448</v>
      </c>
    </row>
    <row r="12" spans="1:7" ht="13.8" x14ac:dyDescent="0.25">
      <c r="A12" s="64" t="s">
        <v>5</v>
      </c>
      <c r="B12" s="22">
        <v>26</v>
      </c>
      <c r="C12" s="22">
        <v>26</v>
      </c>
      <c r="D12" s="13">
        <v>24939</v>
      </c>
      <c r="E12" s="13">
        <v>407599</v>
      </c>
      <c r="F12" s="22">
        <f t="shared" si="0"/>
        <v>432538</v>
      </c>
      <c r="G12" s="65">
        <v>16636</v>
      </c>
    </row>
    <row r="13" spans="1:7" ht="13.8" x14ac:dyDescent="0.25">
      <c r="A13" s="64" t="s">
        <v>9</v>
      </c>
      <c r="B13" s="22">
        <v>4</v>
      </c>
      <c r="C13" s="22">
        <v>4</v>
      </c>
      <c r="D13" s="13">
        <v>4907</v>
      </c>
      <c r="E13" s="13">
        <v>8531</v>
      </c>
      <c r="F13" s="22">
        <f t="shared" si="0"/>
        <v>13438</v>
      </c>
      <c r="G13" s="65">
        <v>3360</v>
      </c>
    </row>
    <row r="14" spans="1:7" ht="13.8" x14ac:dyDescent="0.25">
      <c r="A14" s="64" t="s">
        <v>6</v>
      </c>
      <c r="B14" s="22">
        <v>5</v>
      </c>
      <c r="C14" s="22">
        <v>6</v>
      </c>
      <c r="D14" s="13">
        <v>7943</v>
      </c>
      <c r="E14" s="13">
        <v>3756</v>
      </c>
      <c r="F14" s="22">
        <f t="shared" si="0"/>
        <v>11699</v>
      </c>
      <c r="G14" s="65">
        <v>1950</v>
      </c>
    </row>
    <row r="15" spans="1:7" ht="13.8" x14ac:dyDescent="0.25">
      <c r="A15" s="64" t="s">
        <v>7</v>
      </c>
      <c r="B15" s="22">
        <v>3</v>
      </c>
      <c r="C15" s="22">
        <v>3</v>
      </c>
      <c r="D15" s="13">
        <v>2456</v>
      </c>
      <c r="E15" s="13">
        <v>7487</v>
      </c>
      <c r="F15" s="22">
        <f t="shared" si="0"/>
        <v>9943</v>
      </c>
      <c r="G15" s="65">
        <v>3314</v>
      </c>
    </row>
    <row r="16" spans="1:7" ht="13.8" x14ac:dyDescent="0.25">
      <c r="A16" s="64" t="s">
        <v>12</v>
      </c>
      <c r="B16" s="22">
        <v>3</v>
      </c>
      <c r="C16" s="22">
        <v>6</v>
      </c>
      <c r="D16" s="13">
        <v>6579</v>
      </c>
      <c r="E16" s="13">
        <v>5865</v>
      </c>
      <c r="F16" s="22">
        <f t="shared" si="0"/>
        <v>12444</v>
      </c>
      <c r="G16" s="65">
        <v>2544</v>
      </c>
    </row>
    <row r="17" spans="1:7" ht="14.4" thickBot="1" x14ac:dyDescent="0.3">
      <c r="A17" s="16" t="s">
        <v>14</v>
      </c>
      <c r="B17" s="66">
        <f t="shared" ref="B17:E17" si="1">SUM(B4:B16)</f>
        <v>949</v>
      </c>
      <c r="C17" s="66">
        <f t="shared" si="1"/>
        <v>986</v>
      </c>
      <c r="D17" s="66">
        <f t="shared" si="1"/>
        <v>471414</v>
      </c>
      <c r="E17" s="66">
        <f t="shared" si="1"/>
        <v>13372692</v>
      </c>
      <c r="F17" s="66">
        <f>SUM(F4:F16)</f>
        <v>13844106</v>
      </c>
      <c r="G17" s="67">
        <v>14093</v>
      </c>
    </row>
    <row r="18" spans="1:7" x14ac:dyDescent="0.25">
      <c r="D18" s="11"/>
      <c r="E18" s="11"/>
    </row>
    <row r="19" spans="1:7" ht="22.8" x14ac:dyDescent="0.25">
      <c r="A19" s="183" t="s">
        <v>82</v>
      </c>
      <c r="B19" s="183"/>
      <c r="C19" s="183"/>
      <c r="D19" s="183"/>
      <c r="E19" s="183"/>
      <c r="F19" s="17"/>
    </row>
    <row r="20" spans="1:7" ht="13.8" thickBot="1" x14ac:dyDescent="0.3"/>
    <row r="21" spans="1:7" s="8" customFormat="1" ht="27.6" x14ac:dyDescent="0.25">
      <c r="A21" s="47" t="s">
        <v>78</v>
      </c>
      <c r="B21" s="48" t="s">
        <v>46</v>
      </c>
      <c r="C21" s="46" t="s">
        <v>83</v>
      </c>
      <c r="D21" s="48" t="s">
        <v>70</v>
      </c>
      <c r="E21" s="49" t="s">
        <v>80</v>
      </c>
      <c r="F21" s="50"/>
    </row>
    <row r="22" spans="1:7" ht="13.8" x14ac:dyDescent="0.25">
      <c r="A22" s="68" t="s">
        <v>1</v>
      </c>
      <c r="B22" s="12">
        <v>20</v>
      </c>
      <c r="C22" s="12">
        <v>0</v>
      </c>
      <c r="D22" s="12">
        <v>102</v>
      </c>
      <c r="E22" s="69">
        <f>SUM(B22:D22)</f>
        <v>122</v>
      </c>
    </row>
    <row r="23" spans="1:7" ht="13.8" x14ac:dyDescent="0.25">
      <c r="A23" s="68" t="s">
        <v>0</v>
      </c>
      <c r="B23" s="12">
        <v>32</v>
      </c>
      <c r="C23" s="12">
        <v>13</v>
      </c>
      <c r="D23" s="12">
        <v>55</v>
      </c>
      <c r="E23" s="69">
        <f t="shared" ref="E23:E34" si="2">SUM(B23:D23)</f>
        <v>100</v>
      </c>
    </row>
    <row r="24" spans="1:7" ht="13.8" x14ac:dyDescent="0.25">
      <c r="A24" s="68" t="s">
        <v>11</v>
      </c>
      <c r="B24" s="12">
        <v>21</v>
      </c>
      <c r="C24" s="12">
        <v>16</v>
      </c>
      <c r="D24" s="12">
        <v>20</v>
      </c>
      <c r="E24" s="69">
        <f t="shared" si="2"/>
        <v>57</v>
      </c>
    </row>
    <row r="25" spans="1:7" ht="13.8" x14ac:dyDescent="0.25">
      <c r="A25" s="68" t="s">
        <v>2</v>
      </c>
      <c r="B25" s="12">
        <v>10</v>
      </c>
      <c r="C25" s="12">
        <v>18</v>
      </c>
      <c r="D25" s="12">
        <v>10</v>
      </c>
      <c r="E25" s="69">
        <f t="shared" si="2"/>
        <v>38</v>
      </c>
    </row>
    <row r="26" spans="1:7" ht="13.8" x14ac:dyDescent="0.25">
      <c r="A26" s="68" t="s">
        <v>8</v>
      </c>
      <c r="B26" s="12">
        <v>93</v>
      </c>
      <c r="C26" s="12">
        <v>39</v>
      </c>
      <c r="D26" s="12">
        <v>193</v>
      </c>
      <c r="E26" s="69">
        <f t="shared" si="2"/>
        <v>325</v>
      </c>
    </row>
    <row r="27" spans="1:7" ht="13.8" x14ac:dyDescent="0.25">
      <c r="A27" s="68" t="s">
        <v>10</v>
      </c>
      <c r="B27" s="12">
        <v>105</v>
      </c>
      <c r="C27" s="12">
        <v>54</v>
      </c>
      <c r="D27" s="12">
        <v>76</v>
      </c>
      <c r="E27" s="69">
        <f t="shared" si="2"/>
        <v>235</v>
      </c>
    </row>
    <row r="28" spans="1:7" ht="13.8" x14ac:dyDescent="0.25">
      <c r="A28" s="68" t="s">
        <v>3</v>
      </c>
      <c r="B28" s="12">
        <v>4</v>
      </c>
      <c r="C28" s="12">
        <v>0</v>
      </c>
      <c r="D28" s="12">
        <v>17</v>
      </c>
      <c r="E28" s="69">
        <f t="shared" si="2"/>
        <v>21</v>
      </c>
    </row>
    <row r="29" spans="1:7" ht="13.8" x14ac:dyDescent="0.25">
      <c r="A29" s="68" t="s">
        <v>4</v>
      </c>
      <c r="B29" s="12">
        <v>3</v>
      </c>
      <c r="C29" s="12">
        <v>2</v>
      </c>
      <c r="D29" s="12">
        <v>5</v>
      </c>
      <c r="E29" s="69">
        <f t="shared" si="2"/>
        <v>10</v>
      </c>
    </row>
    <row r="30" spans="1:7" ht="13.8" x14ac:dyDescent="0.25">
      <c r="A30" s="68" t="s">
        <v>5</v>
      </c>
      <c r="B30" s="12">
        <v>6</v>
      </c>
      <c r="C30" s="12">
        <v>0</v>
      </c>
      <c r="D30" s="12">
        <v>20</v>
      </c>
      <c r="E30" s="69">
        <f t="shared" si="2"/>
        <v>26</v>
      </c>
    </row>
    <row r="31" spans="1:7" ht="13.8" x14ac:dyDescent="0.25">
      <c r="A31" s="68" t="s">
        <v>9</v>
      </c>
      <c r="B31" s="12">
        <v>1</v>
      </c>
      <c r="C31" s="12">
        <v>3</v>
      </c>
      <c r="D31" s="12">
        <v>0</v>
      </c>
      <c r="E31" s="69">
        <f t="shared" si="2"/>
        <v>4</v>
      </c>
    </row>
    <row r="32" spans="1:7" ht="13.8" x14ac:dyDescent="0.25">
      <c r="A32" s="68" t="s">
        <v>6</v>
      </c>
      <c r="B32" s="12">
        <v>1</v>
      </c>
      <c r="C32" s="12">
        <v>0</v>
      </c>
      <c r="D32" s="12">
        <v>4</v>
      </c>
      <c r="E32" s="69">
        <f t="shared" si="2"/>
        <v>5</v>
      </c>
    </row>
    <row r="33" spans="1:6" ht="13.8" x14ac:dyDescent="0.25">
      <c r="A33" s="68" t="s">
        <v>7</v>
      </c>
      <c r="B33" s="12">
        <v>1</v>
      </c>
      <c r="C33" s="12">
        <v>0</v>
      </c>
      <c r="D33" s="12">
        <v>2</v>
      </c>
      <c r="E33" s="69">
        <f t="shared" si="2"/>
        <v>3</v>
      </c>
    </row>
    <row r="34" spans="1:6" ht="14.4" thickBot="1" x14ac:dyDescent="0.3">
      <c r="A34" s="70" t="s">
        <v>12</v>
      </c>
      <c r="B34" s="12">
        <v>2</v>
      </c>
      <c r="C34" s="18">
        <v>0</v>
      </c>
      <c r="D34" s="18">
        <v>1</v>
      </c>
      <c r="E34" s="69">
        <f t="shared" si="2"/>
        <v>3</v>
      </c>
    </row>
    <row r="35" spans="1:6" s="25" customFormat="1" ht="14.4" thickTop="1" x14ac:dyDescent="0.25">
      <c r="A35" s="71" t="s">
        <v>14</v>
      </c>
      <c r="B35" s="24">
        <f>SUM(B22:B34)</f>
        <v>299</v>
      </c>
      <c r="C35" s="24">
        <f>SUM(C22:C34)</f>
        <v>145</v>
      </c>
      <c r="D35" s="24">
        <f>SUM(D22:D34)</f>
        <v>505</v>
      </c>
      <c r="E35" s="72">
        <f>SUM(B35:D35)</f>
        <v>949</v>
      </c>
    </row>
    <row r="36" spans="1:6" s="25" customFormat="1" ht="14.4" thickBot="1" x14ac:dyDescent="0.3">
      <c r="A36" s="73"/>
      <c r="B36" s="23">
        <v>0.31</v>
      </c>
      <c r="C36" s="23">
        <v>0.14000000000000001</v>
      </c>
      <c r="D36" s="23">
        <v>0.55000000000000004</v>
      </c>
      <c r="E36" s="74">
        <v>1</v>
      </c>
    </row>
    <row r="37" spans="1:6" x14ac:dyDescent="0.25">
      <c r="A37" s="19"/>
    </row>
    <row r="38" spans="1:6" ht="22.8" x14ac:dyDescent="0.25">
      <c r="A38" s="183" t="s">
        <v>84</v>
      </c>
      <c r="B38" s="183"/>
      <c r="C38" s="183"/>
      <c r="D38" s="183"/>
      <c r="E38" s="183"/>
    </row>
    <row r="39" spans="1:6" s="19" customFormat="1" ht="13.8" thickBot="1" x14ac:dyDescent="0.3"/>
    <row r="40" spans="1:6" s="8" customFormat="1" ht="28.2" thickBot="1" x14ac:dyDescent="0.3">
      <c r="A40" s="51" t="s">
        <v>85</v>
      </c>
      <c r="B40" s="170" t="s">
        <v>86</v>
      </c>
      <c r="C40" s="170" t="s">
        <v>87</v>
      </c>
      <c r="D40" s="170" t="s">
        <v>89</v>
      </c>
      <c r="E40" s="171" t="s">
        <v>88</v>
      </c>
      <c r="F40" s="172" t="s">
        <v>80</v>
      </c>
    </row>
    <row r="41" spans="1:6" ht="13.8" x14ac:dyDescent="0.25">
      <c r="A41" s="167" t="s">
        <v>1</v>
      </c>
      <c r="B41" s="168">
        <v>80</v>
      </c>
      <c r="C41" s="168">
        <v>23</v>
      </c>
      <c r="D41" s="168">
        <v>10</v>
      </c>
      <c r="E41" s="168">
        <v>9</v>
      </c>
      <c r="F41" s="169">
        <f>SUM(B41:E41)</f>
        <v>122</v>
      </c>
    </row>
    <row r="42" spans="1:6" ht="13.8" x14ac:dyDescent="0.25">
      <c r="A42" s="68" t="s">
        <v>0</v>
      </c>
      <c r="B42" s="12">
        <v>90</v>
      </c>
      <c r="C42" s="12">
        <v>2</v>
      </c>
      <c r="D42" s="12">
        <v>2</v>
      </c>
      <c r="E42" s="12">
        <v>6</v>
      </c>
      <c r="F42" s="75">
        <f t="shared" ref="F42:F53" si="3">SUM(B42:E42)</f>
        <v>100</v>
      </c>
    </row>
    <row r="43" spans="1:6" ht="13.8" x14ac:dyDescent="0.25">
      <c r="A43" s="68" t="s">
        <v>11</v>
      </c>
      <c r="B43" s="12">
        <v>53</v>
      </c>
      <c r="C43" s="12"/>
      <c r="D43" s="12">
        <v>3</v>
      </c>
      <c r="E43" s="12">
        <v>1</v>
      </c>
      <c r="F43" s="75">
        <f t="shared" si="3"/>
        <v>57</v>
      </c>
    </row>
    <row r="44" spans="1:6" ht="13.8" x14ac:dyDescent="0.25">
      <c r="A44" s="68" t="s">
        <v>2</v>
      </c>
      <c r="B44" s="12">
        <v>34</v>
      </c>
      <c r="C44" s="12"/>
      <c r="D44" s="12">
        <v>1</v>
      </c>
      <c r="E44" s="12">
        <v>3</v>
      </c>
      <c r="F44" s="75">
        <f t="shared" si="3"/>
        <v>38</v>
      </c>
    </row>
    <row r="45" spans="1:6" ht="13.8" x14ac:dyDescent="0.25">
      <c r="A45" s="68" t="s">
        <v>8</v>
      </c>
      <c r="B45" s="12">
        <v>218</v>
      </c>
      <c r="C45" s="12">
        <v>1</v>
      </c>
      <c r="D45" s="12">
        <v>90</v>
      </c>
      <c r="E45" s="12">
        <v>16</v>
      </c>
      <c r="F45" s="75">
        <f t="shared" si="3"/>
        <v>325</v>
      </c>
    </row>
    <row r="46" spans="1:6" ht="13.8" x14ac:dyDescent="0.25">
      <c r="A46" s="68" t="s">
        <v>10</v>
      </c>
      <c r="B46" s="12">
        <v>139</v>
      </c>
      <c r="C46" s="12">
        <v>2</v>
      </c>
      <c r="D46" s="12">
        <v>43</v>
      </c>
      <c r="E46" s="12">
        <v>51</v>
      </c>
      <c r="F46" s="75">
        <f t="shared" si="3"/>
        <v>235</v>
      </c>
    </row>
    <row r="47" spans="1:6" ht="13.8" x14ac:dyDescent="0.25">
      <c r="A47" s="68" t="s">
        <v>3</v>
      </c>
      <c r="B47" s="12">
        <v>17</v>
      </c>
      <c r="C47" s="12">
        <v>1</v>
      </c>
      <c r="D47" s="12">
        <v>3</v>
      </c>
      <c r="E47" s="12">
        <v>0</v>
      </c>
      <c r="F47" s="75">
        <f t="shared" si="3"/>
        <v>21</v>
      </c>
    </row>
    <row r="48" spans="1:6" ht="13.8" x14ac:dyDescent="0.25">
      <c r="A48" s="68" t="s">
        <v>4</v>
      </c>
      <c r="B48" s="12">
        <v>7</v>
      </c>
      <c r="C48" s="12"/>
      <c r="D48" s="12">
        <v>2</v>
      </c>
      <c r="E48" s="12">
        <v>1</v>
      </c>
      <c r="F48" s="75">
        <f t="shared" si="3"/>
        <v>10</v>
      </c>
    </row>
    <row r="49" spans="1:6" ht="13.8" x14ac:dyDescent="0.25">
      <c r="A49" s="68" t="s">
        <v>5</v>
      </c>
      <c r="B49" s="12">
        <v>21</v>
      </c>
      <c r="C49" s="12"/>
      <c r="D49" s="12">
        <v>4</v>
      </c>
      <c r="E49" s="12">
        <v>1</v>
      </c>
      <c r="F49" s="75">
        <f t="shared" si="3"/>
        <v>26</v>
      </c>
    </row>
    <row r="50" spans="1:6" ht="13.8" x14ac:dyDescent="0.25">
      <c r="A50" s="68" t="s">
        <v>9</v>
      </c>
      <c r="B50" s="12">
        <v>3</v>
      </c>
      <c r="C50" s="12"/>
      <c r="D50" s="12"/>
      <c r="E50" s="12">
        <v>1</v>
      </c>
      <c r="F50" s="75">
        <f t="shared" si="3"/>
        <v>4</v>
      </c>
    </row>
    <row r="51" spans="1:6" ht="13.8" x14ac:dyDescent="0.25">
      <c r="A51" s="68" t="s">
        <v>6</v>
      </c>
      <c r="B51" s="12">
        <v>4</v>
      </c>
      <c r="C51" s="12">
        <v>1</v>
      </c>
      <c r="D51" s="12"/>
      <c r="E51" s="12">
        <v>0</v>
      </c>
      <c r="F51" s="75">
        <f t="shared" si="3"/>
        <v>5</v>
      </c>
    </row>
    <row r="52" spans="1:6" ht="13.8" x14ac:dyDescent="0.25">
      <c r="A52" s="68" t="s">
        <v>7</v>
      </c>
      <c r="B52" s="12">
        <v>3</v>
      </c>
      <c r="C52" s="12"/>
      <c r="D52" s="12"/>
      <c r="E52" s="12">
        <v>0</v>
      </c>
      <c r="F52" s="75">
        <f t="shared" si="3"/>
        <v>3</v>
      </c>
    </row>
    <row r="53" spans="1:6" ht="14.4" thickBot="1" x14ac:dyDescent="0.3">
      <c r="A53" s="70" t="s">
        <v>12</v>
      </c>
      <c r="B53" s="18"/>
      <c r="C53" s="18">
        <v>1</v>
      </c>
      <c r="D53" s="18"/>
      <c r="E53" s="18">
        <v>2</v>
      </c>
      <c r="F53" s="142">
        <f t="shared" si="3"/>
        <v>3</v>
      </c>
    </row>
    <row r="54" spans="1:6" ht="13.8" x14ac:dyDescent="0.25">
      <c r="A54" s="143" t="s">
        <v>14</v>
      </c>
      <c r="B54" s="144">
        <f>SUM(B41:B53)</f>
        <v>669</v>
      </c>
      <c r="C54" s="144">
        <f>SUM(C41:C53)</f>
        <v>31</v>
      </c>
      <c r="D54" s="144">
        <f>SUM(D41:D53)</f>
        <v>158</v>
      </c>
      <c r="E54" s="144">
        <f>SUM(E41:E53)</f>
        <v>91</v>
      </c>
      <c r="F54" s="49">
        <f t="shared" ref="F54" si="4">SUM(B54:E54)</f>
        <v>949</v>
      </c>
    </row>
    <row r="55" spans="1:6" ht="13.8" thickBot="1" x14ac:dyDescent="0.3">
      <c r="A55" s="76"/>
      <c r="B55" s="20">
        <f>B54/$F$54</f>
        <v>0.70495258166491048</v>
      </c>
      <c r="C55" s="20">
        <f t="shared" ref="C55:E55" si="5">C54/$F$54</f>
        <v>3.2665964172813484E-2</v>
      </c>
      <c r="D55" s="20">
        <f t="shared" si="5"/>
        <v>0.16649104320337196</v>
      </c>
      <c r="E55" s="20">
        <f t="shared" si="5"/>
        <v>9.5890410958904104E-2</v>
      </c>
      <c r="F55" s="77">
        <v>1</v>
      </c>
    </row>
    <row r="57" spans="1:6" x14ac:dyDescent="0.25">
      <c r="A57" s="21" t="s">
        <v>121</v>
      </c>
    </row>
  </sheetData>
  <mergeCells count="3">
    <mergeCell ref="A1:G1"/>
    <mergeCell ref="A19:E19"/>
    <mergeCell ref="A38:E38"/>
  </mergeCells>
  <printOptions horizontalCentered="1"/>
  <pageMargins left="0.25" right="0.25" top="0.75" bottom="0.5" header="0.3" footer="0.3"/>
  <pageSetup orientation="landscape" r:id="rId1"/>
  <headerFooter scaleWithDoc="0">
    <oddHeader>&amp;C&amp;"Arial,Bold"&amp;14Snapshot 2022 Canada's Newspaper Industry</oddHeader>
    <oddFooter>&amp;LNews Media Canada&amp;C&amp;P&amp;RJuly 2022</oddFooter>
  </headerFooter>
  <ignoredErrors>
    <ignoredError sqref="F4:F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F1F07-8E30-4D8D-8A41-F51ED63B6A04}">
  <dimension ref="A1:E36"/>
  <sheetViews>
    <sheetView zoomScaleNormal="100" zoomScaleSheetLayoutView="100" workbookViewId="0">
      <pane xSplit="1" ySplit="3" topLeftCell="B21" activePane="bottomRight" state="frozen"/>
      <selection sqref="A1:E1"/>
      <selection pane="topRight" sqref="A1:E1"/>
      <selection pane="bottomLeft" sqref="A1:E1"/>
      <selection pane="bottomRight" activeCell="F25" sqref="F25"/>
    </sheetView>
  </sheetViews>
  <sheetFormatPr defaultRowHeight="13.2" x14ac:dyDescent="0.25"/>
  <cols>
    <col min="1" max="1" width="60.109375" bestFit="1" customWidth="1"/>
    <col min="3" max="3" width="12.109375" customWidth="1"/>
    <col min="4" max="5" width="12.33203125" bestFit="1" customWidth="1"/>
  </cols>
  <sheetData>
    <row r="1" spans="1:5" ht="22.8" x14ac:dyDescent="0.4">
      <c r="A1" s="26" t="s">
        <v>90</v>
      </c>
      <c r="B1" s="17"/>
      <c r="C1" s="17"/>
      <c r="D1" s="17"/>
      <c r="E1" s="17"/>
    </row>
    <row r="2" spans="1:5" ht="13.8" thickBot="1" x14ac:dyDescent="0.3"/>
    <row r="3" spans="1:5" ht="41.4" x14ac:dyDescent="0.25">
      <c r="A3" s="78" t="s">
        <v>28</v>
      </c>
      <c r="B3" s="79" t="s">
        <v>34</v>
      </c>
      <c r="C3" s="79" t="s">
        <v>35</v>
      </c>
      <c r="D3" s="79" t="s">
        <v>36</v>
      </c>
      <c r="E3" s="80" t="s">
        <v>37</v>
      </c>
    </row>
    <row r="4" spans="1:5" ht="13.8" x14ac:dyDescent="0.25">
      <c r="A4" s="64" t="s">
        <v>98</v>
      </c>
      <c r="B4" s="13">
        <v>7</v>
      </c>
      <c r="C4" s="13">
        <v>1259</v>
      </c>
      <c r="D4" s="13">
        <v>92581</v>
      </c>
      <c r="E4" s="65">
        <f>SUM(C4:D4)</f>
        <v>93840</v>
      </c>
    </row>
    <row r="5" spans="1:5" ht="13.8" x14ac:dyDescent="0.25">
      <c r="A5" s="64" t="s">
        <v>101</v>
      </c>
      <c r="B5" s="13">
        <v>4</v>
      </c>
      <c r="C5" s="13">
        <v>8835</v>
      </c>
      <c r="D5" s="13">
        <v>268</v>
      </c>
      <c r="E5" s="65">
        <f t="shared" ref="E5:E28" si="0">SUM(C5:D5)</f>
        <v>9103</v>
      </c>
    </row>
    <row r="6" spans="1:5" ht="13.8" x14ac:dyDescent="0.25">
      <c r="A6" s="64" t="s">
        <v>32</v>
      </c>
      <c r="B6" s="13">
        <v>13</v>
      </c>
      <c r="C6" s="27">
        <v>12975</v>
      </c>
      <c r="D6" s="13">
        <v>65422</v>
      </c>
      <c r="E6" s="65">
        <f t="shared" si="0"/>
        <v>78397</v>
      </c>
    </row>
    <row r="7" spans="1:5" ht="13.8" x14ac:dyDescent="0.25">
      <c r="A7" s="64" t="s">
        <v>30</v>
      </c>
      <c r="B7" s="13">
        <v>106</v>
      </c>
      <c r="C7" s="13">
        <v>34174</v>
      </c>
      <c r="D7" s="13">
        <v>1261069</v>
      </c>
      <c r="E7" s="65">
        <f t="shared" si="0"/>
        <v>1295243</v>
      </c>
    </row>
    <row r="8" spans="1:5" ht="13.8" x14ac:dyDescent="0.25">
      <c r="A8" s="64" t="s">
        <v>122</v>
      </c>
      <c r="B8" s="13">
        <v>16</v>
      </c>
      <c r="C8" s="13">
        <v>22229</v>
      </c>
      <c r="D8" s="13">
        <v>127486</v>
      </c>
      <c r="E8" s="65">
        <f t="shared" si="0"/>
        <v>149715</v>
      </c>
    </row>
    <row r="9" spans="1:5" ht="13.8" x14ac:dyDescent="0.25">
      <c r="A9" s="64" t="s">
        <v>96</v>
      </c>
      <c r="B9" s="13">
        <v>15</v>
      </c>
      <c r="C9" s="13">
        <v>0</v>
      </c>
      <c r="D9" s="13">
        <v>74800</v>
      </c>
      <c r="E9" s="65">
        <f t="shared" si="0"/>
        <v>74800</v>
      </c>
    </row>
    <row r="10" spans="1:5" ht="13.8" x14ac:dyDescent="0.25">
      <c r="A10" s="64" t="s">
        <v>60</v>
      </c>
      <c r="B10" s="13">
        <v>1</v>
      </c>
      <c r="C10" s="13">
        <v>0</v>
      </c>
      <c r="D10" s="13">
        <v>40844</v>
      </c>
      <c r="E10" s="65">
        <f t="shared" si="0"/>
        <v>40844</v>
      </c>
    </row>
    <row r="11" spans="1:5" ht="13.8" x14ac:dyDescent="0.25">
      <c r="A11" s="64" t="s">
        <v>103</v>
      </c>
      <c r="B11" s="13">
        <v>2</v>
      </c>
      <c r="C11" s="13">
        <v>50</v>
      </c>
      <c r="D11" s="13">
        <v>29950</v>
      </c>
      <c r="E11" s="65">
        <f t="shared" si="0"/>
        <v>30000</v>
      </c>
    </row>
    <row r="12" spans="1:5" ht="13.8" x14ac:dyDescent="0.25">
      <c r="A12" s="64" t="s">
        <v>33</v>
      </c>
      <c r="B12" s="13">
        <v>4</v>
      </c>
      <c r="C12" s="13">
        <v>2845</v>
      </c>
      <c r="D12" s="13">
        <v>254266</v>
      </c>
      <c r="E12" s="65">
        <f t="shared" si="0"/>
        <v>257111</v>
      </c>
    </row>
    <row r="13" spans="1:5" ht="13.8" x14ac:dyDescent="0.25">
      <c r="A13" s="64" t="s">
        <v>31</v>
      </c>
      <c r="B13" s="13">
        <v>32</v>
      </c>
      <c r="C13" s="13">
        <v>11518</v>
      </c>
      <c r="D13" s="13">
        <v>521856</v>
      </c>
      <c r="E13" s="65">
        <f t="shared" si="0"/>
        <v>533374</v>
      </c>
    </row>
    <row r="14" spans="1:5" ht="13.8" x14ac:dyDescent="0.25">
      <c r="A14" s="64" t="s">
        <v>105</v>
      </c>
      <c r="B14" s="13">
        <v>10</v>
      </c>
      <c r="C14" s="13">
        <v>7525</v>
      </c>
      <c r="D14" s="13">
        <v>142041</v>
      </c>
      <c r="E14" s="65">
        <f t="shared" si="0"/>
        <v>149566</v>
      </c>
    </row>
    <row r="15" spans="1:5" ht="13.8" x14ac:dyDescent="0.25">
      <c r="A15" s="64" t="s">
        <v>94</v>
      </c>
      <c r="B15" s="13">
        <v>22</v>
      </c>
      <c r="C15" s="13">
        <v>7814</v>
      </c>
      <c r="D15" s="13">
        <v>520159</v>
      </c>
      <c r="E15" s="65">
        <f t="shared" si="0"/>
        <v>527973</v>
      </c>
    </row>
    <row r="16" spans="1:5" ht="13.8" x14ac:dyDescent="0.25">
      <c r="A16" s="64" t="s">
        <v>99</v>
      </c>
      <c r="B16" s="13">
        <v>7</v>
      </c>
      <c r="C16" s="13">
        <v>13418</v>
      </c>
      <c r="D16" s="13">
        <v>104482</v>
      </c>
      <c r="E16" s="65">
        <f t="shared" si="0"/>
        <v>117900</v>
      </c>
    </row>
    <row r="17" spans="1:5" ht="13.8" x14ac:dyDescent="0.25">
      <c r="A17" s="64" t="s">
        <v>95</v>
      </c>
      <c r="B17" s="13">
        <v>18</v>
      </c>
      <c r="C17" s="13">
        <v>114</v>
      </c>
      <c r="D17" s="13">
        <v>453568</v>
      </c>
      <c r="E17" s="65">
        <f t="shared" si="0"/>
        <v>453682</v>
      </c>
    </row>
    <row r="18" spans="1:5" ht="13.8" x14ac:dyDescent="0.25">
      <c r="A18" s="64" t="s">
        <v>97</v>
      </c>
      <c r="B18" s="13">
        <v>11</v>
      </c>
      <c r="C18" s="13">
        <v>11028</v>
      </c>
      <c r="D18" s="13">
        <v>64571</v>
      </c>
      <c r="E18" s="65">
        <f t="shared" si="0"/>
        <v>75599</v>
      </c>
    </row>
    <row r="19" spans="1:5" ht="13.8" x14ac:dyDescent="0.25">
      <c r="A19" s="64" t="s">
        <v>61</v>
      </c>
      <c r="B19" s="13">
        <v>29</v>
      </c>
      <c r="C19" s="13">
        <v>7</v>
      </c>
      <c r="D19" s="13">
        <v>940223</v>
      </c>
      <c r="E19" s="65">
        <f t="shared" si="0"/>
        <v>940230</v>
      </c>
    </row>
    <row r="20" spans="1:5" ht="13.8" x14ac:dyDescent="0.25">
      <c r="A20" s="64" t="s">
        <v>123</v>
      </c>
      <c r="B20" s="13">
        <v>69</v>
      </c>
      <c r="C20" s="13">
        <v>8785</v>
      </c>
      <c r="D20" s="13">
        <v>2106520</v>
      </c>
      <c r="E20" s="65">
        <f t="shared" si="0"/>
        <v>2115305</v>
      </c>
    </row>
    <row r="21" spans="1:5" ht="13.8" x14ac:dyDescent="0.25">
      <c r="A21" s="64" t="s">
        <v>124</v>
      </c>
      <c r="B21" s="13">
        <v>4</v>
      </c>
      <c r="C21" s="13">
        <v>5684</v>
      </c>
      <c r="D21" s="13">
        <v>4187</v>
      </c>
      <c r="E21" s="65">
        <f t="shared" si="0"/>
        <v>9871</v>
      </c>
    </row>
    <row r="22" spans="1:5" ht="13.8" x14ac:dyDescent="0.25">
      <c r="A22" s="64" t="s">
        <v>102</v>
      </c>
      <c r="B22" s="13">
        <v>6</v>
      </c>
      <c r="C22" s="27">
        <v>0</v>
      </c>
      <c r="D22" s="13">
        <v>98386</v>
      </c>
      <c r="E22" s="65">
        <f t="shared" si="0"/>
        <v>98386</v>
      </c>
    </row>
    <row r="23" spans="1:5" ht="13.8" x14ac:dyDescent="0.25">
      <c r="A23" s="64" t="s">
        <v>100</v>
      </c>
      <c r="B23" s="13">
        <v>8</v>
      </c>
      <c r="C23" s="13">
        <v>0</v>
      </c>
      <c r="D23" s="13">
        <v>178561</v>
      </c>
      <c r="E23" s="65">
        <f t="shared" si="0"/>
        <v>178561</v>
      </c>
    </row>
    <row r="24" spans="1:5" ht="13.8" x14ac:dyDescent="0.25">
      <c r="A24" s="64" t="s">
        <v>92</v>
      </c>
      <c r="B24" s="13">
        <v>66</v>
      </c>
      <c r="C24" s="27">
        <v>19244</v>
      </c>
      <c r="D24" s="13">
        <v>956479</v>
      </c>
      <c r="E24" s="65">
        <f t="shared" si="0"/>
        <v>975723</v>
      </c>
    </row>
    <row r="25" spans="1:5" ht="13.8" x14ac:dyDescent="0.25">
      <c r="A25" s="64" t="s">
        <v>93</v>
      </c>
      <c r="B25" s="13">
        <v>17</v>
      </c>
      <c r="C25" s="13">
        <v>11767</v>
      </c>
      <c r="D25" s="13">
        <v>406149</v>
      </c>
      <c r="E25" s="65">
        <f t="shared" si="0"/>
        <v>417916</v>
      </c>
    </row>
    <row r="26" spans="1:5" ht="13.8" x14ac:dyDescent="0.25">
      <c r="A26" s="64" t="s">
        <v>91</v>
      </c>
      <c r="B26" s="13">
        <v>72</v>
      </c>
      <c r="C26" s="13">
        <v>0</v>
      </c>
      <c r="D26" s="13">
        <v>733000</v>
      </c>
      <c r="E26" s="65">
        <f t="shared" si="0"/>
        <v>733000</v>
      </c>
    </row>
    <row r="27" spans="1:5" ht="13.8" x14ac:dyDescent="0.25">
      <c r="A27" s="64" t="s">
        <v>104</v>
      </c>
      <c r="B27" s="13">
        <v>146</v>
      </c>
      <c r="C27" s="13">
        <v>62566</v>
      </c>
      <c r="D27" s="13">
        <v>1961336</v>
      </c>
      <c r="E27" s="65">
        <f t="shared" si="0"/>
        <v>2023902</v>
      </c>
    </row>
    <row r="28" spans="1:5" ht="14.4" thickBot="1" x14ac:dyDescent="0.3">
      <c r="A28" s="175" t="s">
        <v>47</v>
      </c>
      <c r="B28" s="28">
        <v>301</v>
      </c>
      <c r="C28" s="28">
        <v>229577</v>
      </c>
      <c r="D28" s="28">
        <v>2234488</v>
      </c>
      <c r="E28" s="65">
        <f t="shared" si="0"/>
        <v>2464065</v>
      </c>
    </row>
    <row r="29" spans="1:5" ht="16.8" thickTop="1" thickBot="1" x14ac:dyDescent="0.35">
      <c r="A29" s="174" t="s">
        <v>14</v>
      </c>
      <c r="B29" s="132">
        <f>SUM(B4:B28)</f>
        <v>986</v>
      </c>
      <c r="C29" s="132">
        <f t="shared" ref="C29:E29" si="1">SUM(C4:C28)</f>
        <v>471414</v>
      </c>
      <c r="D29" s="132">
        <f t="shared" si="1"/>
        <v>13372692</v>
      </c>
      <c r="E29" s="133">
        <f t="shared" si="1"/>
        <v>13844106</v>
      </c>
    </row>
    <row r="30" spans="1:5" ht="13.8" thickBot="1" x14ac:dyDescent="0.3"/>
    <row r="31" spans="1:5" ht="14.4" thickBot="1" x14ac:dyDescent="0.3">
      <c r="A31" s="29" t="s">
        <v>72</v>
      </c>
      <c r="B31" s="147" t="s">
        <v>73</v>
      </c>
      <c r="C31" s="148" t="s">
        <v>74</v>
      </c>
    </row>
    <row r="32" spans="1:5" ht="13.8" x14ac:dyDescent="0.25">
      <c r="A32" s="9" t="s">
        <v>70</v>
      </c>
      <c r="B32" s="145">
        <f>SUM(B4:B26)</f>
        <v>539</v>
      </c>
      <c r="C32" s="146">
        <v>0.56999999999999995</v>
      </c>
    </row>
    <row r="33" spans="1:3" ht="14.4" thickBot="1" x14ac:dyDescent="0.3">
      <c r="A33" s="178" t="s">
        <v>75</v>
      </c>
      <c r="B33" s="179">
        <f>SUM(B27:B28)</f>
        <v>447</v>
      </c>
      <c r="C33" s="180">
        <v>0.43</v>
      </c>
    </row>
    <row r="34" spans="1:3" ht="15" thickTop="1" thickBot="1" x14ac:dyDescent="0.3">
      <c r="A34" s="174" t="s">
        <v>14</v>
      </c>
      <c r="B34" s="176">
        <f>SUM(B32:B33)</f>
        <v>986</v>
      </c>
      <c r="C34" s="177">
        <v>1</v>
      </c>
    </row>
    <row r="36" spans="1:3" x14ac:dyDescent="0.25">
      <c r="A36" s="21" t="s">
        <v>121</v>
      </c>
    </row>
  </sheetData>
  <printOptions horizontalCentered="1"/>
  <pageMargins left="0.25" right="0.25" top="0.75" bottom="0.5" header="0.3" footer="0.3"/>
  <pageSetup orientation="landscape" r:id="rId1"/>
  <headerFooter scaleWithDoc="0">
    <oddHeader>&amp;C&amp;"Arial,Bold"&amp;14Snapshot 2022 Canada's Newspaper Industry</oddHeader>
    <oddFooter>&amp;LNews Media Canada&amp;C&amp;P&amp;RJuly 2022</oddFooter>
  </headerFooter>
  <ignoredErrors>
    <ignoredError sqref="B33 E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50B54-FF77-47F4-83AB-2C867CF1BF25}">
  <dimension ref="A1:F25"/>
  <sheetViews>
    <sheetView zoomScaleNormal="100" zoomScaleSheetLayoutView="100" workbookViewId="0"/>
  </sheetViews>
  <sheetFormatPr defaultRowHeight="13.2" x14ac:dyDescent="0.25"/>
  <cols>
    <col min="1" max="1" width="26.33203125" customWidth="1"/>
    <col min="2" max="3" width="9.6640625" customWidth="1"/>
    <col min="4" max="4" width="11" bestFit="1" customWidth="1"/>
    <col min="5" max="5" width="14.109375" customWidth="1"/>
    <col min="6" max="6" width="15.5546875" customWidth="1"/>
  </cols>
  <sheetData>
    <row r="1" spans="1:6" ht="22.8" x14ac:dyDescent="0.4">
      <c r="A1" s="30" t="s">
        <v>106</v>
      </c>
      <c r="B1" s="31"/>
      <c r="C1" s="31"/>
      <c r="D1" s="31"/>
      <c r="E1" s="31"/>
      <c r="F1" s="32"/>
    </row>
    <row r="2" spans="1:6" ht="13.8" thickBot="1" x14ac:dyDescent="0.3"/>
    <row r="3" spans="1:6" ht="41.4" x14ac:dyDescent="0.25">
      <c r="A3" s="134" t="s">
        <v>107</v>
      </c>
      <c r="B3" s="135" t="s">
        <v>108</v>
      </c>
      <c r="C3" s="135" t="s">
        <v>40</v>
      </c>
      <c r="D3" s="136" t="s">
        <v>39</v>
      </c>
      <c r="E3" s="136" t="s">
        <v>37</v>
      </c>
      <c r="F3" s="137" t="s">
        <v>38</v>
      </c>
    </row>
    <row r="4" spans="1:6" ht="13.8" x14ac:dyDescent="0.25">
      <c r="A4" s="64" t="s">
        <v>39</v>
      </c>
      <c r="B4" s="12">
        <v>742</v>
      </c>
      <c r="C4" s="14">
        <v>73972</v>
      </c>
      <c r="D4" s="14">
        <v>13355114</v>
      </c>
      <c r="E4" s="14">
        <f>SUM(C4:D4)</f>
        <v>13429086</v>
      </c>
      <c r="F4" s="138">
        <v>18098</v>
      </c>
    </row>
    <row r="5" spans="1:6" ht="14.4" thickBot="1" x14ac:dyDescent="0.3">
      <c r="A5" s="175" t="s">
        <v>40</v>
      </c>
      <c r="B5" s="18">
        <v>244</v>
      </c>
      <c r="C5" s="33">
        <v>397442</v>
      </c>
      <c r="D5" s="33">
        <v>17578</v>
      </c>
      <c r="E5" s="14">
        <f>SUM(C5:D5)</f>
        <v>415020</v>
      </c>
      <c r="F5" s="139">
        <v>1701</v>
      </c>
    </row>
    <row r="6" spans="1:6" ht="15" thickTop="1" thickBot="1" x14ac:dyDescent="0.3">
      <c r="A6" s="181" t="s">
        <v>14</v>
      </c>
      <c r="B6" s="140">
        <f>SUM(B4:B5)</f>
        <v>986</v>
      </c>
      <c r="C6" s="140">
        <f t="shared" ref="C6:E6" si="0">SUM(C4:C5)</f>
        <v>471414</v>
      </c>
      <c r="D6" s="140">
        <f t="shared" si="0"/>
        <v>13372692</v>
      </c>
      <c r="E6" s="140">
        <f t="shared" si="0"/>
        <v>13844106</v>
      </c>
      <c r="F6" s="141">
        <v>14041</v>
      </c>
    </row>
    <row r="8" spans="1:6" ht="22.8" x14ac:dyDescent="0.4">
      <c r="A8" s="26" t="s">
        <v>109</v>
      </c>
      <c r="B8" s="17"/>
      <c r="C8" s="34"/>
    </row>
    <row r="9" spans="1:6" ht="13.8" thickBot="1" x14ac:dyDescent="0.3"/>
    <row r="10" spans="1:6" s="8" customFormat="1" ht="41.4" x14ac:dyDescent="0.25">
      <c r="A10" s="83" t="s">
        <v>41</v>
      </c>
      <c r="B10" s="84" t="s">
        <v>34</v>
      </c>
      <c r="C10" s="85" t="s">
        <v>49</v>
      </c>
    </row>
    <row r="11" spans="1:6" ht="13.8" x14ac:dyDescent="0.25">
      <c r="A11" s="64" t="s">
        <v>42</v>
      </c>
      <c r="B11" s="12">
        <v>115</v>
      </c>
      <c r="C11" s="86">
        <f>B11/$B$14</f>
        <v>0.11663286004056796</v>
      </c>
    </row>
    <row r="12" spans="1:6" ht="13.8" x14ac:dyDescent="0.25">
      <c r="A12" s="64" t="s">
        <v>110</v>
      </c>
      <c r="B12" s="12">
        <v>33</v>
      </c>
      <c r="C12" s="86">
        <f t="shared" ref="C12:C13" si="1">B12/$B$14</f>
        <v>3.3468559837728194E-2</v>
      </c>
    </row>
    <row r="13" spans="1:6" ht="14.4" thickBot="1" x14ac:dyDescent="0.3">
      <c r="A13" s="81" t="s">
        <v>43</v>
      </c>
      <c r="B13" s="35">
        <v>838</v>
      </c>
      <c r="C13" s="86">
        <f t="shared" si="1"/>
        <v>0.84989858012170383</v>
      </c>
    </row>
    <row r="14" spans="1:6" ht="15" thickTop="1" thickBot="1" x14ac:dyDescent="0.3">
      <c r="A14" s="87" t="s">
        <v>14</v>
      </c>
      <c r="B14" s="88">
        <f>SUM(B11:B13)</f>
        <v>986</v>
      </c>
      <c r="C14" s="89">
        <v>1</v>
      </c>
    </row>
    <row r="16" spans="1:6" ht="22.8" x14ac:dyDescent="0.4">
      <c r="A16" s="26" t="s">
        <v>27</v>
      </c>
      <c r="B16" s="25"/>
      <c r="C16" s="36"/>
    </row>
    <row r="17" spans="1:3" ht="13.8" thickBot="1" x14ac:dyDescent="0.3"/>
    <row r="18" spans="1:3" s="8" customFormat="1" ht="27.6" x14ac:dyDescent="0.25">
      <c r="A18" s="83" t="s">
        <v>27</v>
      </c>
      <c r="B18" s="84" t="s">
        <v>80</v>
      </c>
      <c r="C18" s="85" t="s">
        <v>49</v>
      </c>
    </row>
    <row r="19" spans="1:3" ht="13.8" x14ac:dyDescent="0.25">
      <c r="A19" s="64" t="s">
        <v>44</v>
      </c>
      <c r="B19" s="12">
        <v>701</v>
      </c>
      <c r="C19" s="86">
        <f>B19/$B$23</f>
        <v>0.73867228661749207</v>
      </c>
    </row>
    <row r="20" spans="1:3" ht="13.8" x14ac:dyDescent="0.25">
      <c r="A20" s="64" t="s">
        <v>45</v>
      </c>
      <c r="B20" s="12">
        <v>223</v>
      </c>
      <c r="C20" s="86">
        <f t="shared" ref="C20:C22" si="2">B20/$B$23</f>
        <v>0.23498419388830347</v>
      </c>
    </row>
    <row r="21" spans="1:3" ht="13.8" x14ac:dyDescent="0.25">
      <c r="A21" s="64" t="s">
        <v>111</v>
      </c>
      <c r="B21" s="12">
        <v>22</v>
      </c>
      <c r="C21" s="86">
        <f t="shared" si="2"/>
        <v>2.3182297154899896E-2</v>
      </c>
    </row>
    <row r="22" spans="1:3" ht="14.4" thickBot="1" x14ac:dyDescent="0.3">
      <c r="A22" s="81" t="s">
        <v>112</v>
      </c>
      <c r="B22" s="35">
        <v>3</v>
      </c>
      <c r="C22" s="86">
        <f t="shared" si="2"/>
        <v>3.1612223393045311E-3</v>
      </c>
    </row>
    <row r="23" spans="1:3" ht="15" thickTop="1" thickBot="1" x14ac:dyDescent="0.3">
      <c r="A23" s="90" t="s">
        <v>14</v>
      </c>
      <c r="B23" s="91">
        <f>SUM(B19:B22)</f>
        <v>949</v>
      </c>
      <c r="C23" s="92">
        <v>0.99999999999999989</v>
      </c>
    </row>
    <row r="25" spans="1:3" x14ac:dyDescent="0.25">
      <c r="A25" s="21" t="s">
        <v>121</v>
      </c>
    </row>
  </sheetData>
  <printOptions horizontalCentered="1"/>
  <pageMargins left="0.25" right="0.25" top="0.75" bottom="0.5" header="0.3" footer="0.3"/>
  <pageSetup orientation="landscape" r:id="rId1"/>
  <headerFooter scaleWithDoc="0">
    <oddHeader>&amp;C&amp;"Arial,Bold"&amp;14Snapshot 2022 Canada's Newspaper Industry</oddHeader>
    <oddFooter>&amp;LNews Media Canada&amp;C&amp;P&amp;RJuly 2022</oddFooter>
  </headerFooter>
  <ignoredErrors>
    <ignoredError sqref="E4:E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6C1BD-10A9-468D-9144-7B9D5EFAA925}">
  <dimension ref="A1:O59"/>
  <sheetViews>
    <sheetView zoomScale="80" zoomScaleNormal="80" zoomScaleSheetLayoutView="100" workbookViewId="0">
      <pane xSplit="1" ySplit="3" topLeftCell="B33" activePane="bottomRight" state="frozen"/>
      <selection sqref="A1:E1"/>
      <selection pane="topRight" sqref="A1:E1"/>
      <selection pane="bottomLeft" sqref="A1:E1"/>
      <selection pane="bottomRight" activeCell="A48" sqref="A48"/>
    </sheetView>
  </sheetViews>
  <sheetFormatPr defaultColWidth="11.88671875" defaultRowHeight="13.2" x14ac:dyDescent="0.25"/>
  <cols>
    <col min="1" max="1" width="53.5546875" customWidth="1"/>
    <col min="2" max="2" width="11.21875" bestFit="1" customWidth="1"/>
    <col min="3" max="5" width="9.5546875" bestFit="1" customWidth="1"/>
    <col min="6" max="7" width="11.21875" bestFit="1" customWidth="1"/>
    <col min="8" max="8" width="9.5546875" bestFit="1" customWidth="1"/>
    <col min="9" max="9" width="8.44140625" bestFit="1" customWidth="1"/>
    <col min="10" max="10" width="9.5546875" bestFit="1" customWidth="1"/>
    <col min="11" max="12" width="8.44140625" bestFit="1" customWidth="1"/>
    <col min="13" max="13" width="7.33203125" bestFit="1" customWidth="1"/>
    <col min="14" max="14" width="8.44140625" bestFit="1" customWidth="1"/>
    <col min="15" max="15" width="12.33203125" bestFit="1" customWidth="1"/>
  </cols>
  <sheetData>
    <row r="1" spans="1:15" ht="22.8" x14ac:dyDescent="0.4">
      <c r="A1" s="26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3.8" thickBot="1" x14ac:dyDescent="0.3"/>
    <row r="3" spans="1:15" ht="13.8" x14ac:dyDescent="0.25">
      <c r="A3" s="93" t="s">
        <v>28</v>
      </c>
      <c r="B3" s="94" t="s">
        <v>1</v>
      </c>
      <c r="C3" s="94" t="s">
        <v>0</v>
      </c>
      <c r="D3" s="94" t="s">
        <v>11</v>
      </c>
      <c r="E3" s="94" t="s">
        <v>2</v>
      </c>
      <c r="F3" s="94" t="s">
        <v>8</v>
      </c>
      <c r="G3" s="94" t="s">
        <v>10</v>
      </c>
      <c r="H3" s="94" t="s">
        <v>3</v>
      </c>
      <c r="I3" s="94" t="s">
        <v>4</v>
      </c>
      <c r="J3" s="94" t="s">
        <v>5</v>
      </c>
      <c r="K3" s="94" t="s">
        <v>9</v>
      </c>
      <c r="L3" s="94" t="s">
        <v>6</v>
      </c>
      <c r="M3" s="94" t="s">
        <v>7</v>
      </c>
      <c r="N3" s="94" t="s">
        <v>12</v>
      </c>
      <c r="O3" s="95" t="s">
        <v>113</v>
      </c>
    </row>
    <row r="4" spans="1:15" ht="13.8" x14ac:dyDescent="0.25">
      <c r="A4" s="96" t="s">
        <v>98</v>
      </c>
      <c r="B4" s="37">
        <v>90640</v>
      </c>
      <c r="C4" s="37">
        <v>3200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97">
        <f>SUM(B4:N4)</f>
        <v>93840</v>
      </c>
    </row>
    <row r="5" spans="1:15" ht="13.8" x14ac:dyDescent="0.25">
      <c r="A5" s="96" t="s">
        <v>101</v>
      </c>
      <c r="B5" s="37"/>
      <c r="C5" s="37"/>
      <c r="D5" s="37"/>
      <c r="E5" s="37"/>
      <c r="F5" s="37"/>
      <c r="G5" s="37"/>
      <c r="H5" s="37">
        <v>1182</v>
      </c>
      <c r="I5" s="37"/>
      <c r="J5" s="37">
        <v>7921</v>
      </c>
      <c r="K5" s="37"/>
      <c r="L5" s="37"/>
      <c r="M5" s="37"/>
      <c r="N5" s="37"/>
      <c r="O5" s="97">
        <f t="shared" ref="O5:O28" si="0">SUM(B5:N5)</f>
        <v>9103</v>
      </c>
    </row>
    <row r="6" spans="1:15" ht="13.8" x14ac:dyDescent="0.25">
      <c r="A6" s="96" t="s">
        <v>32</v>
      </c>
      <c r="B6" s="37"/>
      <c r="C6" s="37">
        <v>25678</v>
      </c>
      <c r="D6" s="37">
        <v>34417</v>
      </c>
      <c r="E6" s="37"/>
      <c r="F6" s="37"/>
      <c r="G6" s="37">
        <v>18302</v>
      </c>
      <c r="H6" s="37"/>
      <c r="I6" s="37"/>
      <c r="J6" s="37"/>
      <c r="K6" s="37"/>
      <c r="L6" s="37"/>
      <c r="M6" s="37"/>
      <c r="N6" s="37"/>
      <c r="O6" s="97">
        <f t="shared" si="0"/>
        <v>78397</v>
      </c>
    </row>
    <row r="7" spans="1:15" ht="13.8" x14ac:dyDescent="0.25">
      <c r="A7" s="96" t="s">
        <v>30</v>
      </c>
      <c r="B7" s="37">
        <v>1205066</v>
      </c>
      <c r="C7" s="37">
        <v>76494</v>
      </c>
      <c r="D7" s="37"/>
      <c r="E7" s="37"/>
      <c r="F7" s="37"/>
      <c r="G7" s="37"/>
      <c r="H7" s="37"/>
      <c r="I7" s="37"/>
      <c r="J7" s="37"/>
      <c r="K7" s="37"/>
      <c r="L7" s="37">
        <v>5602</v>
      </c>
      <c r="M7" s="37"/>
      <c r="N7" s="37">
        <v>8081</v>
      </c>
      <c r="O7" s="97">
        <f t="shared" si="0"/>
        <v>1295243</v>
      </c>
    </row>
    <row r="8" spans="1:15" ht="13.8" x14ac:dyDescent="0.25">
      <c r="A8" s="96" t="s">
        <v>122</v>
      </c>
      <c r="B8" s="37"/>
      <c r="C8" s="37"/>
      <c r="D8" s="37"/>
      <c r="E8" s="37"/>
      <c r="F8" s="37"/>
      <c r="G8" s="37"/>
      <c r="H8" s="37">
        <v>149715</v>
      </c>
      <c r="I8" s="37"/>
      <c r="J8" s="37"/>
      <c r="K8" s="37"/>
      <c r="L8" s="37"/>
      <c r="M8" s="37"/>
      <c r="N8" s="37"/>
      <c r="O8" s="97">
        <f t="shared" si="0"/>
        <v>149715</v>
      </c>
    </row>
    <row r="9" spans="1:15" ht="13.8" x14ac:dyDescent="0.25">
      <c r="A9" s="96" t="s">
        <v>96</v>
      </c>
      <c r="B9" s="37">
        <v>5600</v>
      </c>
      <c r="C9" s="37">
        <v>10000</v>
      </c>
      <c r="D9" s="37"/>
      <c r="E9" s="37">
        <v>6000</v>
      </c>
      <c r="F9" s="37">
        <v>28800</v>
      </c>
      <c r="G9" s="37">
        <v>10000</v>
      </c>
      <c r="H9" s="37"/>
      <c r="I9" s="37"/>
      <c r="J9" s="37">
        <v>14400</v>
      </c>
      <c r="K9" s="37"/>
      <c r="L9" s="37"/>
      <c r="M9" s="37"/>
      <c r="N9" s="37"/>
      <c r="O9" s="97">
        <f t="shared" si="0"/>
        <v>74800</v>
      </c>
    </row>
    <row r="10" spans="1:15" ht="13.8" x14ac:dyDescent="0.25">
      <c r="A10" s="96" t="s">
        <v>60</v>
      </c>
      <c r="B10" s="37"/>
      <c r="C10" s="37"/>
      <c r="D10" s="37"/>
      <c r="E10" s="37"/>
      <c r="F10" s="37"/>
      <c r="G10" s="37">
        <v>40844</v>
      </c>
      <c r="H10" s="37"/>
      <c r="I10" s="37"/>
      <c r="J10" s="37"/>
      <c r="K10" s="37"/>
      <c r="L10" s="37"/>
      <c r="M10" s="37"/>
      <c r="N10" s="37"/>
      <c r="O10" s="97">
        <f t="shared" si="0"/>
        <v>40844</v>
      </c>
    </row>
    <row r="11" spans="1:15" ht="13.8" x14ac:dyDescent="0.25">
      <c r="A11" s="96" t="s">
        <v>103</v>
      </c>
      <c r="B11" s="37"/>
      <c r="C11" s="37"/>
      <c r="D11" s="37"/>
      <c r="E11" s="37"/>
      <c r="F11" s="37">
        <v>18000</v>
      </c>
      <c r="G11" s="37">
        <v>12000</v>
      </c>
      <c r="H11" s="37"/>
      <c r="I11" s="37"/>
      <c r="J11" s="37"/>
      <c r="K11" s="37"/>
      <c r="L11" s="37"/>
      <c r="M11" s="37"/>
      <c r="N11" s="37"/>
      <c r="O11" s="97">
        <f t="shared" si="0"/>
        <v>30000</v>
      </c>
    </row>
    <row r="12" spans="1:15" ht="13.8" x14ac:dyDescent="0.25">
      <c r="A12" s="96" t="s">
        <v>33</v>
      </c>
      <c r="B12" s="37"/>
      <c r="C12" s="37"/>
      <c r="D12" s="37"/>
      <c r="E12" s="37">
        <v>257111</v>
      </c>
      <c r="F12" s="37"/>
      <c r="G12" s="37"/>
      <c r="H12" s="37"/>
      <c r="I12" s="37"/>
      <c r="J12" s="37"/>
      <c r="K12" s="37"/>
      <c r="L12" s="37"/>
      <c r="M12" s="37"/>
      <c r="N12" s="37"/>
      <c r="O12" s="97">
        <f t="shared" si="0"/>
        <v>257111</v>
      </c>
    </row>
    <row r="13" spans="1:15" ht="13.8" x14ac:dyDescent="0.25">
      <c r="A13" s="96" t="s">
        <v>31</v>
      </c>
      <c r="B13" s="37">
        <v>474201</v>
      </c>
      <c r="C13" s="37"/>
      <c r="D13" s="37">
        <v>54418</v>
      </c>
      <c r="E13" s="37">
        <v>4755</v>
      </c>
      <c r="F13" s="37"/>
      <c r="G13" s="37"/>
      <c r="H13" s="37"/>
      <c r="I13" s="37"/>
      <c r="J13" s="37"/>
      <c r="K13" s="37"/>
      <c r="L13" s="37"/>
      <c r="M13" s="37"/>
      <c r="N13" s="37"/>
      <c r="O13" s="97">
        <f t="shared" si="0"/>
        <v>533374</v>
      </c>
    </row>
    <row r="14" spans="1:15" ht="13.8" x14ac:dyDescent="0.25">
      <c r="A14" s="96" t="s">
        <v>105</v>
      </c>
      <c r="B14" s="37"/>
      <c r="C14" s="37">
        <v>149566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97">
        <f t="shared" si="0"/>
        <v>149566</v>
      </c>
    </row>
    <row r="15" spans="1:15" ht="13.8" x14ac:dyDescent="0.25">
      <c r="A15" s="96" t="s">
        <v>94</v>
      </c>
      <c r="B15" s="37"/>
      <c r="C15" s="37"/>
      <c r="D15" s="37"/>
      <c r="E15" s="37"/>
      <c r="F15" s="37">
        <v>71521</v>
      </c>
      <c r="G15" s="37">
        <v>456452</v>
      </c>
      <c r="H15" s="37"/>
      <c r="I15" s="37"/>
      <c r="J15" s="37"/>
      <c r="K15" s="37"/>
      <c r="L15" s="37"/>
      <c r="M15" s="37"/>
      <c r="N15" s="37"/>
      <c r="O15" s="97">
        <f t="shared" si="0"/>
        <v>527973</v>
      </c>
    </row>
    <row r="16" spans="1:15" ht="13.8" x14ac:dyDescent="0.25">
      <c r="A16" s="96" t="s">
        <v>99</v>
      </c>
      <c r="B16" s="37"/>
      <c r="C16" s="37"/>
      <c r="D16" s="37"/>
      <c r="E16" s="37"/>
      <c r="F16" s="37">
        <v>89300</v>
      </c>
      <c r="G16" s="37">
        <v>28600</v>
      </c>
      <c r="H16" s="37"/>
      <c r="I16" s="37"/>
      <c r="J16" s="37"/>
      <c r="K16" s="37"/>
      <c r="L16" s="37"/>
      <c r="M16" s="37"/>
      <c r="N16" s="37"/>
      <c r="O16" s="97">
        <f t="shared" si="0"/>
        <v>117900</v>
      </c>
    </row>
    <row r="17" spans="1:15" ht="13.8" x14ac:dyDescent="0.25">
      <c r="A17" s="96" t="s">
        <v>95</v>
      </c>
      <c r="B17" s="37"/>
      <c r="C17" s="37"/>
      <c r="D17" s="37"/>
      <c r="E17" s="37"/>
      <c r="F17" s="37"/>
      <c r="G17" s="37">
        <v>453682</v>
      </c>
      <c r="H17" s="37"/>
      <c r="I17" s="37"/>
      <c r="J17" s="37"/>
      <c r="K17" s="37"/>
      <c r="L17" s="37"/>
      <c r="M17" s="37"/>
      <c r="N17" s="37"/>
      <c r="O17" s="97">
        <f t="shared" si="0"/>
        <v>453682</v>
      </c>
    </row>
    <row r="18" spans="1:15" ht="13.8" x14ac:dyDescent="0.25">
      <c r="A18" s="96" t="s">
        <v>97</v>
      </c>
      <c r="B18" s="37"/>
      <c r="C18" s="37"/>
      <c r="D18" s="37"/>
      <c r="E18" s="37"/>
      <c r="F18" s="37">
        <v>74708</v>
      </c>
      <c r="G18" s="37">
        <v>891</v>
      </c>
      <c r="H18" s="37"/>
      <c r="I18" s="37"/>
      <c r="J18" s="37"/>
      <c r="K18" s="37"/>
      <c r="L18" s="37"/>
      <c r="M18" s="37"/>
      <c r="N18" s="37"/>
      <c r="O18" s="97">
        <f t="shared" si="0"/>
        <v>75599</v>
      </c>
    </row>
    <row r="19" spans="1:15" ht="13.8" x14ac:dyDescent="0.25">
      <c r="A19" s="96" t="s">
        <v>61</v>
      </c>
      <c r="B19" s="37"/>
      <c r="C19" s="37"/>
      <c r="D19" s="37"/>
      <c r="E19" s="37"/>
      <c r="F19" s="37"/>
      <c r="G19" s="37">
        <v>940230</v>
      </c>
      <c r="H19" s="37"/>
      <c r="I19" s="37"/>
      <c r="J19" s="37"/>
      <c r="K19" s="37"/>
      <c r="L19" s="37"/>
      <c r="M19" s="37"/>
      <c r="N19" s="37"/>
      <c r="O19" s="97">
        <f t="shared" si="0"/>
        <v>940230</v>
      </c>
    </row>
    <row r="20" spans="1:15" ht="13.8" x14ac:dyDescent="0.25">
      <c r="A20" s="96" t="s">
        <v>123</v>
      </c>
      <c r="B20" s="37"/>
      <c r="C20" s="37"/>
      <c r="D20" s="37"/>
      <c r="E20" s="37"/>
      <c r="F20" s="37">
        <v>2115305</v>
      </c>
      <c r="G20" s="37"/>
      <c r="H20" s="37"/>
      <c r="I20" s="37"/>
      <c r="J20" s="37"/>
      <c r="K20" s="37"/>
      <c r="L20" s="37"/>
      <c r="M20" s="37"/>
      <c r="N20" s="37"/>
      <c r="O20" s="97">
        <f t="shared" si="0"/>
        <v>2115305</v>
      </c>
    </row>
    <row r="21" spans="1:15" ht="13.8" x14ac:dyDescent="0.25">
      <c r="A21" s="96" t="s">
        <v>124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>
        <v>5222</v>
      </c>
      <c r="M21" s="37">
        <v>4649</v>
      </c>
      <c r="N21" s="37"/>
      <c r="O21" s="97">
        <f t="shared" si="0"/>
        <v>9871</v>
      </c>
    </row>
    <row r="22" spans="1:15" ht="13.8" x14ac:dyDescent="0.25">
      <c r="A22" s="96" t="s">
        <v>102</v>
      </c>
      <c r="B22" s="37">
        <v>98386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97">
        <f t="shared" si="0"/>
        <v>98386</v>
      </c>
    </row>
    <row r="23" spans="1:15" ht="13.8" x14ac:dyDescent="0.25">
      <c r="A23" s="96" t="s">
        <v>100</v>
      </c>
      <c r="B23" s="37"/>
      <c r="C23" s="37"/>
      <c r="D23" s="37"/>
      <c r="E23" s="37"/>
      <c r="F23" s="37">
        <v>178561</v>
      </c>
      <c r="G23" s="37"/>
      <c r="H23" s="37"/>
      <c r="I23" s="37"/>
      <c r="J23" s="37"/>
      <c r="K23" s="37"/>
      <c r="L23" s="37"/>
      <c r="M23" s="37"/>
      <c r="N23" s="37"/>
      <c r="O23" s="97">
        <f t="shared" si="0"/>
        <v>178561</v>
      </c>
    </row>
    <row r="24" spans="1:15" ht="13.8" x14ac:dyDescent="0.25">
      <c r="A24" s="96" t="s">
        <v>92</v>
      </c>
      <c r="B24" s="37"/>
      <c r="C24" s="37">
        <v>233157</v>
      </c>
      <c r="D24" s="37">
        <v>77769</v>
      </c>
      <c r="E24" s="37">
        <v>9635</v>
      </c>
      <c r="F24" s="37">
        <v>635061</v>
      </c>
      <c r="G24" s="37">
        <v>20101</v>
      </c>
      <c r="H24" s="37"/>
      <c r="I24" s="37"/>
      <c r="J24" s="37"/>
      <c r="K24" s="37"/>
      <c r="L24" s="37"/>
      <c r="M24" s="37"/>
      <c r="N24" s="37"/>
      <c r="O24" s="97">
        <f t="shared" si="0"/>
        <v>975723</v>
      </c>
    </row>
    <row r="25" spans="1:15" ht="13.8" x14ac:dyDescent="0.25">
      <c r="A25" s="96" t="s">
        <v>93</v>
      </c>
      <c r="B25" s="37"/>
      <c r="C25" s="37"/>
      <c r="D25" s="37"/>
      <c r="E25" s="37"/>
      <c r="F25" s="37"/>
      <c r="G25" s="37"/>
      <c r="H25" s="37"/>
      <c r="I25" s="37">
        <v>54483</v>
      </c>
      <c r="J25" s="37">
        <v>363433</v>
      </c>
      <c r="K25" s="37"/>
      <c r="L25" s="37"/>
      <c r="M25" s="37"/>
      <c r="N25" s="37"/>
      <c r="O25" s="97">
        <f t="shared" si="0"/>
        <v>417916</v>
      </c>
    </row>
    <row r="26" spans="1:15" ht="13.8" x14ac:dyDescent="0.25">
      <c r="A26" s="96" t="s">
        <v>91</v>
      </c>
      <c r="B26" s="37">
        <v>68000</v>
      </c>
      <c r="C26" s="37">
        <v>10000</v>
      </c>
      <c r="D26" s="37"/>
      <c r="E26" s="37"/>
      <c r="F26" s="37">
        <v>615000</v>
      </c>
      <c r="G26" s="37"/>
      <c r="H26" s="37">
        <v>10000</v>
      </c>
      <c r="I26" s="37">
        <v>10000</v>
      </c>
      <c r="J26" s="37">
        <v>20000</v>
      </c>
      <c r="K26" s="37"/>
      <c r="L26" s="37"/>
      <c r="M26" s="37"/>
      <c r="N26" s="37"/>
      <c r="O26" s="97">
        <f t="shared" si="0"/>
        <v>733000</v>
      </c>
    </row>
    <row r="27" spans="1:15" ht="13.8" x14ac:dyDescent="0.25">
      <c r="A27" s="96" t="s">
        <v>125</v>
      </c>
      <c r="B27" s="37"/>
      <c r="C27" s="37">
        <v>47049</v>
      </c>
      <c r="D27" s="37">
        <v>53536</v>
      </c>
      <c r="E27" s="37">
        <v>101791</v>
      </c>
      <c r="F27" s="37">
        <v>392451</v>
      </c>
      <c r="G27" s="37">
        <v>1449362</v>
      </c>
      <c r="H27" s="37"/>
      <c r="I27" s="37">
        <v>1161</v>
      </c>
      <c r="J27" s="37"/>
      <c r="K27" s="37">
        <v>11238</v>
      </c>
      <c r="L27" s="37"/>
      <c r="M27" s="37"/>
      <c r="N27" s="37"/>
      <c r="O27" s="97">
        <f t="shared" si="0"/>
        <v>2056588</v>
      </c>
    </row>
    <row r="28" spans="1:15" ht="14.4" thickBot="1" x14ac:dyDescent="0.3">
      <c r="A28" s="182" t="s">
        <v>47</v>
      </c>
      <c r="B28" s="37">
        <v>77428</v>
      </c>
      <c r="C28" s="37">
        <v>136261</v>
      </c>
      <c r="D28" s="37">
        <v>70843</v>
      </c>
      <c r="E28" s="37">
        <v>28224</v>
      </c>
      <c r="F28" s="37">
        <v>935910</v>
      </c>
      <c r="G28" s="37">
        <v>1096328</v>
      </c>
      <c r="H28" s="37">
        <v>28038</v>
      </c>
      <c r="I28" s="37">
        <v>18831</v>
      </c>
      <c r="J28" s="37">
        <v>26784</v>
      </c>
      <c r="K28" s="37">
        <v>2200</v>
      </c>
      <c r="L28" s="37">
        <v>875</v>
      </c>
      <c r="M28" s="37">
        <v>5294</v>
      </c>
      <c r="N28" s="37">
        <v>4363</v>
      </c>
      <c r="O28" s="97">
        <f t="shared" si="0"/>
        <v>2431379</v>
      </c>
    </row>
    <row r="29" spans="1:15" ht="15" thickTop="1" thickBot="1" x14ac:dyDescent="0.3">
      <c r="A29" s="98" t="s">
        <v>14</v>
      </c>
      <c r="B29" s="99">
        <f t="shared" ref="B29:O29" si="1">SUM(B4:B28)</f>
        <v>2019321</v>
      </c>
      <c r="C29" s="99">
        <f t="shared" si="1"/>
        <v>691405</v>
      </c>
      <c r="D29" s="99">
        <f t="shared" si="1"/>
        <v>290983</v>
      </c>
      <c r="E29" s="99">
        <f t="shared" si="1"/>
        <v>407516</v>
      </c>
      <c r="F29" s="99">
        <f t="shared" si="1"/>
        <v>5154617</v>
      </c>
      <c r="G29" s="99">
        <f t="shared" si="1"/>
        <v>4526792</v>
      </c>
      <c r="H29" s="99">
        <f t="shared" si="1"/>
        <v>188935</v>
      </c>
      <c r="I29" s="99">
        <f t="shared" si="1"/>
        <v>84475</v>
      </c>
      <c r="J29" s="99">
        <f t="shared" si="1"/>
        <v>432538</v>
      </c>
      <c r="K29" s="99">
        <f t="shared" si="1"/>
        <v>13438</v>
      </c>
      <c r="L29" s="99">
        <f t="shared" si="1"/>
        <v>11699</v>
      </c>
      <c r="M29" s="99">
        <f t="shared" si="1"/>
        <v>9943</v>
      </c>
      <c r="N29" s="99">
        <f t="shared" si="1"/>
        <v>12444</v>
      </c>
      <c r="O29" s="100">
        <f t="shared" si="1"/>
        <v>13844106</v>
      </c>
    </row>
    <row r="31" spans="1:15" ht="23.4" thickBot="1" x14ac:dyDescent="0.45">
      <c r="A31" s="26" t="s">
        <v>114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9"/>
    </row>
    <row r="32" spans="1:15" ht="13.8" x14ac:dyDescent="0.25">
      <c r="A32" s="93" t="s">
        <v>28</v>
      </c>
      <c r="B32" s="94" t="s">
        <v>1</v>
      </c>
      <c r="C32" s="94" t="s">
        <v>0</v>
      </c>
      <c r="D32" s="94" t="s">
        <v>11</v>
      </c>
      <c r="E32" s="94" t="s">
        <v>2</v>
      </c>
      <c r="F32" s="94" t="s">
        <v>8</v>
      </c>
      <c r="G32" s="94" t="s">
        <v>10</v>
      </c>
      <c r="H32" s="94" t="s">
        <v>3</v>
      </c>
      <c r="I32" s="94" t="s">
        <v>4</v>
      </c>
      <c r="J32" s="94" t="s">
        <v>5</v>
      </c>
      <c r="K32" s="94" t="s">
        <v>9</v>
      </c>
      <c r="L32" s="94" t="s">
        <v>6</v>
      </c>
      <c r="M32" s="94" t="s">
        <v>7</v>
      </c>
      <c r="N32" s="94" t="s">
        <v>12</v>
      </c>
      <c r="O32" s="95" t="s">
        <v>113</v>
      </c>
    </row>
    <row r="33" spans="1:15" ht="13.8" x14ac:dyDescent="0.25">
      <c r="A33" s="64" t="s">
        <v>98</v>
      </c>
      <c r="B33" s="12">
        <v>5</v>
      </c>
      <c r="C33" s="12">
        <v>1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75">
        <f>SUM(B33:N33)</f>
        <v>6</v>
      </c>
    </row>
    <row r="34" spans="1:15" ht="13.8" x14ac:dyDescent="0.25">
      <c r="A34" s="64" t="s">
        <v>101</v>
      </c>
      <c r="B34" s="12"/>
      <c r="C34" s="12"/>
      <c r="D34" s="12"/>
      <c r="E34" s="12"/>
      <c r="F34" s="12"/>
      <c r="G34" s="12"/>
      <c r="H34" s="12">
        <v>1</v>
      </c>
      <c r="I34" s="12"/>
      <c r="J34" s="12">
        <v>3</v>
      </c>
      <c r="K34" s="12"/>
      <c r="L34" s="12"/>
      <c r="M34" s="12"/>
      <c r="N34" s="12"/>
      <c r="O34" s="75">
        <f t="shared" ref="O34:O57" si="2">SUM(B34:N34)</f>
        <v>4</v>
      </c>
    </row>
    <row r="35" spans="1:15" ht="13.8" x14ac:dyDescent="0.25">
      <c r="A35" s="64" t="s">
        <v>32</v>
      </c>
      <c r="B35" s="12"/>
      <c r="C35" s="12">
        <v>6</v>
      </c>
      <c r="D35" s="12">
        <v>5</v>
      </c>
      <c r="E35" s="12"/>
      <c r="F35" s="12"/>
      <c r="G35" s="12">
        <v>2</v>
      </c>
      <c r="H35" s="12"/>
      <c r="I35" s="12"/>
      <c r="J35" s="12"/>
      <c r="K35" s="12"/>
      <c r="L35" s="12"/>
      <c r="M35" s="12"/>
      <c r="N35" s="12"/>
      <c r="O35" s="75">
        <f t="shared" si="2"/>
        <v>13</v>
      </c>
    </row>
    <row r="36" spans="1:15" ht="13.8" x14ac:dyDescent="0.25">
      <c r="A36" s="64" t="s">
        <v>30</v>
      </c>
      <c r="B36" s="12">
        <v>70</v>
      </c>
      <c r="C36" s="12">
        <v>11</v>
      </c>
      <c r="D36" s="12"/>
      <c r="E36" s="12"/>
      <c r="F36" s="12"/>
      <c r="G36" s="12"/>
      <c r="H36" s="12"/>
      <c r="I36" s="12"/>
      <c r="J36" s="12"/>
      <c r="K36" s="12"/>
      <c r="L36" s="12">
        <v>2</v>
      </c>
      <c r="M36" s="12"/>
      <c r="N36" s="12">
        <v>1</v>
      </c>
      <c r="O36" s="75">
        <f t="shared" si="2"/>
        <v>84</v>
      </c>
    </row>
    <row r="37" spans="1:15" ht="13.8" x14ac:dyDescent="0.25">
      <c r="A37" s="64" t="s">
        <v>122</v>
      </c>
      <c r="B37" s="12"/>
      <c r="C37" s="12"/>
      <c r="D37" s="12"/>
      <c r="E37" s="12"/>
      <c r="F37" s="12"/>
      <c r="G37" s="12"/>
      <c r="H37" s="12">
        <v>15</v>
      </c>
      <c r="I37" s="12"/>
      <c r="J37" s="12"/>
      <c r="K37" s="12"/>
      <c r="L37" s="12"/>
      <c r="M37" s="12"/>
      <c r="N37" s="12"/>
      <c r="O37" s="75">
        <f t="shared" si="2"/>
        <v>15</v>
      </c>
    </row>
    <row r="38" spans="1:15" ht="13.8" x14ac:dyDescent="0.25">
      <c r="A38" s="101" t="s">
        <v>96</v>
      </c>
      <c r="B38" s="12">
        <v>2</v>
      </c>
      <c r="C38" s="12">
        <v>1</v>
      </c>
      <c r="D38" s="12"/>
      <c r="E38" s="12">
        <v>2</v>
      </c>
      <c r="F38" s="12">
        <v>5</v>
      </c>
      <c r="G38" s="12">
        <v>3</v>
      </c>
      <c r="H38" s="12"/>
      <c r="I38" s="12"/>
      <c r="J38" s="12">
        <v>2</v>
      </c>
      <c r="K38" s="12"/>
      <c r="L38" s="12"/>
      <c r="M38" s="12"/>
      <c r="N38" s="12"/>
      <c r="O38" s="75">
        <f t="shared" si="2"/>
        <v>15</v>
      </c>
    </row>
    <row r="39" spans="1:15" ht="13.8" x14ac:dyDescent="0.25">
      <c r="A39" s="64" t="s">
        <v>60</v>
      </c>
      <c r="B39" s="12"/>
      <c r="C39" s="12"/>
      <c r="D39" s="12"/>
      <c r="E39" s="12"/>
      <c r="F39" s="12"/>
      <c r="G39" s="12">
        <v>1</v>
      </c>
      <c r="H39" s="12"/>
      <c r="I39" s="12"/>
      <c r="J39" s="12"/>
      <c r="K39" s="12"/>
      <c r="L39" s="12"/>
      <c r="M39" s="12"/>
      <c r="N39" s="12"/>
      <c r="O39" s="75">
        <f t="shared" si="2"/>
        <v>1</v>
      </c>
    </row>
    <row r="40" spans="1:15" ht="13.8" x14ac:dyDescent="0.25">
      <c r="A40" s="64" t="s">
        <v>103</v>
      </c>
      <c r="B40" s="12"/>
      <c r="C40" s="12"/>
      <c r="D40" s="12"/>
      <c r="E40" s="12"/>
      <c r="F40" s="12">
        <v>1</v>
      </c>
      <c r="G40" s="12">
        <v>1</v>
      </c>
      <c r="H40" s="12"/>
      <c r="I40" s="12"/>
      <c r="J40" s="12"/>
      <c r="K40" s="12"/>
      <c r="L40" s="12"/>
      <c r="M40" s="12"/>
      <c r="N40" s="12"/>
      <c r="O40" s="75">
        <f t="shared" si="2"/>
        <v>2</v>
      </c>
    </row>
    <row r="41" spans="1:15" ht="13.8" x14ac:dyDescent="0.25">
      <c r="A41" s="64" t="s">
        <v>33</v>
      </c>
      <c r="B41" s="12"/>
      <c r="C41" s="12"/>
      <c r="D41" s="12"/>
      <c r="E41" s="12">
        <v>4</v>
      </c>
      <c r="F41" s="12"/>
      <c r="G41" s="12"/>
      <c r="H41" s="12"/>
      <c r="I41" s="12"/>
      <c r="J41" s="12"/>
      <c r="K41" s="12"/>
      <c r="L41" s="12"/>
      <c r="M41" s="12"/>
      <c r="N41" s="12"/>
      <c r="O41" s="75">
        <f t="shared" si="2"/>
        <v>4</v>
      </c>
    </row>
    <row r="42" spans="1:15" ht="13.8" x14ac:dyDescent="0.25">
      <c r="A42" s="64" t="s">
        <v>31</v>
      </c>
      <c r="B42" s="12">
        <v>15</v>
      </c>
      <c r="C42" s="12"/>
      <c r="D42" s="12">
        <v>13</v>
      </c>
      <c r="E42" s="12">
        <v>3</v>
      </c>
      <c r="F42" s="12"/>
      <c r="G42" s="12"/>
      <c r="H42" s="12"/>
      <c r="I42" s="12"/>
      <c r="J42" s="12"/>
      <c r="K42" s="12"/>
      <c r="L42" s="12"/>
      <c r="M42" s="12"/>
      <c r="N42" s="12"/>
      <c r="O42" s="75">
        <f t="shared" si="2"/>
        <v>31</v>
      </c>
    </row>
    <row r="43" spans="1:15" ht="13.8" x14ac:dyDescent="0.25">
      <c r="A43" s="64" t="s">
        <v>105</v>
      </c>
      <c r="B43" s="12"/>
      <c r="C43" s="12">
        <v>9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75">
        <f t="shared" si="2"/>
        <v>9</v>
      </c>
    </row>
    <row r="44" spans="1:15" ht="13.8" x14ac:dyDescent="0.25">
      <c r="A44" s="64" t="s">
        <v>94</v>
      </c>
      <c r="B44" s="12"/>
      <c r="C44" s="12"/>
      <c r="D44" s="12"/>
      <c r="E44" s="12"/>
      <c r="F44" s="12">
        <v>2</v>
      </c>
      <c r="G44" s="12">
        <v>20</v>
      </c>
      <c r="H44" s="12"/>
      <c r="I44" s="12"/>
      <c r="J44" s="12"/>
      <c r="K44" s="12"/>
      <c r="L44" s="12"/>
      <c r="M44" s="12"/>
      <c r="N44" s="12"/>
      <c r="O44" s="75">
        <f t="shared" si="2"/>
        <v>22</v>
      </c>
    </row>
    <row r="45" spans="1:15" ht="13.8" x14ac:dyDescent="0.25">
      <c r="A45" s="64" t="s">
        <v>99</v>
      </c>
      <c r="B45" s="12"/>
      <c r="C45" s="12"/>
      <c r="D45" s="12"/>
      <c r="E45" s="12"/>
      <c r="F45" s="12">
        <v>5</v>
      </c>
      <c r="G45" s="12">
        <v>2</v>
      </c>
      <c r="H45" s="12"/>
      <c r="I45" s="12"/>
      <c r="J45" s="12"/>
      <c r="K45" s="12"/>
      <c r="L45" s="12"/>
      <c r="M45" s="12"/>
      <c r="N45" s="12"/>
      <c r="O45" s="75">
        <f t="shared" si="2"/>
        <v>7</v>
      </c>
    </row>
    <row r="46" spans="1:15" ht="13.8" x14ac:dyDescent="0.25">
      <c r="A46" s="64" t="s">
        <v>95</v>
      </c>
      <c r="B46" s="12"/>
      <c r="C46" s="12"/>
      <c r="D46" s="12"/>
      <c r="E46" s="12"/>
      <c r="F46" s="12"/>
      <c r="G46" s="12">
        <v>17</v>
      </c>
      <c r="H46" s="12"/>
      <c r="I46" s="12"/>
      <c r="J46" s="12"/>
      <c r="K46" s="12"/>
      <c r="L46" s="12"/>
      <c r="M46" s="12"/>
      <c r="N46" s="12"/>
      <c r="O46" s="75">
        <f t="shared" si="2"/>
        <v>17</v>
      </c>
    </row>
    <row r="47" spans="1:15" ht="13.8" x14ac:dyDescent="0.25">
      <c r="A47" s="64" t="s">
        <v>97</v>
      </c>
      <c r="B47" s="12"/>
      <c r="C47" s="12"/>
      <c r="D47" s="12"/>
      <c r="E47" s="12"/>
      <c r="F47" s="12">
        <v>8</v>
      </c>
      <c r="G47" s="12">
        <v>1</v>
      </c>
      <c r="H47" s="12"/>
      <c r="I47" s="12"/>
      <c r="J47" s="12"/>
      <c r="K47" s="12"/>
      <c r="L47" s="12"/>
      <c r="M47" s="12"/>
      <c r="N47" s="12"/>
      <c r="O47" s="75">
        <f t="shared" si="2"/>
        <v>9</v>
      </c>
    </row>
    <row r="48" spans="1:15" ht="13.8" x14ac:dyDescent="0.25">
      <c r="A48" s="64" t="s">
        <v>61</v>
      </c>
      <c r="B48" s="12"/>
      <c r="C48" s="12"/>
      <c r="D48" s="12"/>
      <c r="E48" s="12"/>
      <c r="F48" s="12"/>
      <c r="G48" s="12">
        <v>28</v>
      </c>
      <c r="H48" s="12"/>
      <c r="I48" s="12"/>
      <c r="J48" s="12"/>
      <c r="K48" s="12"/>
      <c r="L48" s="12"/>
      <c r="M48" s="12"/>
      <c r="N48" s="12"/>
      <c r="O48" s="75">
        <f t="shared" si="2"/>
        <v>28</v>
      </c>
    </row>
    <row r="49" spans="1:15" ht="13.8" x14ac:dyDescent="0.25">
      <c r="A49" s="64" t="s">
        <v>123</v>
      </c>
      <c r="B49" s="12"/>
      <c r="C49" s="12"/>
      <c r="D49" s="12"/>
      <c r="E49" s="12"/>
      <c r="F49" s="12">
        <v>69</v>
      </c>
      <c r="G49" s="12"/>
      <c r="H49" s="12"/>
      <c r="I49" s="12"/>
      <c r="J49" s="12"/>
      <c r="K49" s="12"/>
      <c r="L49" s="12"/>
      <c r="M49" s="12"/>
      <c r="N49" s="12"/>
      <c r="O49" s="75">
        <f t="shared" si="2"/>
        <v>69</v>
      </c>
    </row>
    <row r="50" spans="1:15" ht="13.8" x14ac:dyDescent="0.25">
      <c r="A50" s="64" t="s">
        <v>126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>
        <v>2</v>
      </c>
      <c r="M50" s="12">
        <v>2</v>
      </c>
      <c r="N50" s="12"/>
      <c r="O50" s="75">
        <f t="shared" si="2"/>
        <v>4</v>
      </c>
    </row>
    <row r="51" spans="1:15" ht="13.8" x14ac:dyDescent="0.25">
      <c r="A51" s="64" t="s">
        <v>102</v>
      </c>
      <c r="B51" s="12">
        <v>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75">
        <f t="shared" si="2"/>
        <v>3</v>
      </c>
    </row>
    <row r="52" spans="1:15" ht="13.8" x14ac:dyDescent="0.25">
      <c r="A52" s="64" t="s">
        <v>100</v>
      </c>
      <c r="B52" s="12"/>
      <c r="C52" s="12"/>
      <c r="D52" s="12"/>
      <c r="E52" s="12"/>
      <c r="F52" s="12">
        <v>8</v>
      </c>
      <c r="G52" s="12"/>
      <c r="H52" s="12"/>
      <c r="I52" s="12"/>
      <c r="J52" s="12"/>
      <c r="K52" s="12"/>
      <c r="L52" s="12"/>
      <c r="M52" s="12"/>
      <c r="N52" s="12"/>
      <c r="O52" s="75">
        <f t="shared" si="2"/>
        <v>8</v>
      </c>
    </row>
    <row r="53" spans="1:15" ht="13.8" x14ac:dyDescent="0.25">
      <c r="A53" s="64" t="s">
        <v>92</v>
      </c>
      <c r="B53" s="12"/>
      <c r="C53" s="12">
        <v>26</v>
      </c>
      <c r="D53" s="12">
        <v>2</v>
      </c>
      <c r="E53" s="12">
        <v>1</v>
      </c>
      <c r="F53" s="12">
        <v>35</v>
      </c>
      <c r="G53" s="12">
        <v>1</v>
      </c>
      <c r="H53" s="12"/>
      <c r="I53" s="12"/>
      <c r="J53" s="12"/>
      <c r="K53" s="12"/>
      <c r="L53" s="12"/>
      <c r="M53" s="12"/>
      <c r="N53" s="12"/>
      <c r="O53" s="75">
        <f t="shared" si="2"/>
        <v>65</v>
      </c>
    </row>
    <row r="54" spans="1:15" ht="13.8" x14ac:dyDescent="0.25">
      <c r="A54" s="64" t="s">
        <v>93</v>
      </c>
      <c r="B54" s="12"/>
      <c r="C54" s="12"/>
      <c r="D54" s="12"/>
      <c r="E54" s="12"/>
      <c r="F54" s="12"/>
      <c r="G54" s="12"/>
      <c r="H54" s="12"/>
      <c r="I54" s="12">
        <v>4</v>
      </c>
      <c r="J54" s="12">
        <v>13</v>
      </c>
      <c r="K54" s="12"/>
      <c r="L54" s="12"/>
      <c r="M54" s="12"/>
      <c r="N54" s="12"/>
      <c r="O54" s="75">
        <f t="shared" si="2"/>
        <v>17</v>
      </c>
    </row>
    <row r="55" spans="1:15" ht="13.8" x14ac:dyDescent="0.25">
      <c r="A55" s="64" t="s">
        <v>91</v>
      </c>
      <c r="B55" s="12">
        <v>7</v>
      </c>
      <c r="C55" s="12">
        <v>1</v>
      </c>
      <c r="D55" s="12"/>
      <c r="E55" s="12"/>
      <c r="F55" s="12">
        <v>60</v>
      </c>
      <c r="G55" s="12"/>
      <c r="H55" s="12">
        <v>1</v>
      </c>
      <c r="I55" s="12">
        <v>1</v>
      </c>
      <c r="J55" s="12">
        <v>2</v>
      </c>
      <c r="K55" s="12"/>
      <c r="L55" s="12"/>
      <c r="M55" s="12"/>
      <c r="N55" s="12"/>
      <c r="O55" s="75">
        <f t="shared" si="2"/>
        <v>72</v>
      </c>
    </row>
    <row r="56" spans="1:15" ht="13.8" x14ac:dyDescent="0.25">
      <c r="A56" s="64" t="s">
        <v>127</v>
      </c>
      <c r="B56" s="12"/>
      <c r="C56" s="12">
        <v>13</v>
      </c>
      <c r="D56" s="12">
        <v>16</v>
      </c>
      <c r="E56" s="12">
        <v>18</v>
      </c>
      <c r="F56" s="12">
        <v>39</v>
      </c>
      <c r="G56" s="12">
        <v>54</v>
      </c>
      <c r="H56" s="12"/>
      <c r="I56" s="12">
        <v>2</v>
      </c>
      <c r="J56" s="12"/>
      <c r="K56" s="12">
        <v>3</v>
      </c>
      <c r="L56" s="12"/>
      <c r="M56" s="12"/>
      <c r="N56" s="12"/>
      <c r="O56" s="75">
        <f t="shared" si="2"/>
        <v>145</v>
      </c>
    </row>
    <row r="57" spans="1:15" ht="14.4" thickBot="1" x14ac:dyDescent="0.3">
      <c r="A57" s="81" t="s">
        <v>46</v>
      </c>
      <c r="B57" s="35">
        <v>20</v>
      </c>
      <c r="C57" s="35">
        <v>32</v>
      </c>
      <c r="D57" s="35">
        <v>21</v>
      </c>
      <c r="E57" s="35">
        <v>10</v>
      </c>
      <c r="F57" s="35">
        <v>93</v>
      </c>
      <c r="G57" s="35">
        <v>105</v>
      </c>
      <c r="H57" s="35">
        <v>4</v>
      </c>
      <c r="I57" s="35">
        <v>3</v>
      </c>
      <c r="J57" s="35">
        <v>6</v>
      </c>
      <c r="K57" s="35">
        <v>1</v>
      </c>
      <c r="L57" s="35">
        <v>1</v>
      </c>
      <c r="M57" s="35">
        <v>1</v>
      </c>
      <c r="N57" s="35">
        <v>2</v>
      </c>
      <c r="O57" s="75">
        <f t="shared" si="2"/>
        <v>299</v>
      </c>
    </row>
    <row r="58" spans="1:15" ht="15" thickTop="1" thickBot="1" x14ac:dyDescent="0.3">
      <c r="A58" s="90" t="s">
        <v>14</v>
      </c>
      <c r="B58" s="91">
        <f>SUM(B33:B57)</f>
        <v>122</v>
      </c>
      <c r="C58" s="91">
        <f t="shared" ref="C58:N58" si="3">SUM(C33:C57)</f>
        <v>100</v>
      </c>
      <c r="D58" s="91">
        <f t="shared" si="3"/>
        <v>57</v>
      </c>
      <c r="E58" s="91">
        <f t="shared" si="3"/>
        <v>38</v>
      </c>
      <c r="F58" s="91">
        <f t="shared" si="3"/>
        <v>325</v>
      </c>
      <c r="G58" s="91">
        <f t="shared" si="3"/>
        <v>235</v>
      </c>
      <c r="H58" s="91">
        <f t="shared" si="3"/>
        <v>21</v>
      </c>
      <c r="I58" s="91">
        <f t="shared" si="3"/>
        <v>10</v>
      </c>
      <c r="J58" s="91">
        <f t="shared" si="3"/>
        <v>26</v>
      </c>
      <c r="K58" s="91">
        <f t="shared" si="3"/>
        <v>4</v>
      </c>
      <c r="L58" s="91">
        <f t="shared" si="3"/>
        <v>5</v>
      </c>
      <c r="M58" s="91">
        <f t="shared" si="3"/>
        <v>3</v>
      </c>
      <c r="N58" s="91">
        <f t="shared" si="3"/>
        <v>3</v>
      </c>
      <c r="O58" s="102">
        <f>SUM(O33:O57)</f>
        <v>949</v>
      </c>
    </row>
    <row r="59" spans="1:15" x14ac:dyDescent="0.25">
      <c r="A59" s="21" t="s">
        <v>121</v>
      </c>
    </row>
  </sheetData>
  <printOptions horizontalCentered="1"/>
  <pageMargins left="0.25" right="0.25" top="0.75" bottom="0.5" header="0.3" footer="0.3"/>
  <pageSetup scale="65" orientation="landscape" r:id="rId1"/>
  <headerFooter scaleWithDoc="0">
    <oddHeader>&amp;C&amp;"Arial,Bold"&amp;14Snapshot 2022 Canada's Newspaper Industry</oddHeader>
    <oddFooter>&amp;LNews Media Canada&amp;C&amp;P&amp;RJuly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DC7B4-D24F-4B28-A792-7A17CA5860A1}">
  <dimension ref="A1:D19"/>
  <sheetViews>
    <sheetView zoomScaleNormal="100" zoomScaleSheetLayoutView="130" workbookViewId="0"/>
  </sheetViews>
  <sheetFormatPr defaultRowHeight="13.2" x14ac:dyDescent="0.25"/>
  <cols>
    <col min="1" max="1" width="12.5546875" customWidth="1"/>
    <col min="2" max="2" width="13.33203125" customWidth="1"/>
    <col min="3" max="3" width="11.88671875" customWidth="1"/>
    <col min="4" max="4" width="16.77734375" customWidth="1"/>
  </cols>
  <sheetData>
    <row r="1" spans="1:4" ht="22.8" x14ac:dyDescent="0.4">
      <c r="A1" s="26" t="s">
        <v>115</v>
      </c>
      <c r="B1" s="25"/>
      <c r="C1" s="25"/>
      <c r="D1" s="36"/>
    </row>
    <row r="2" spans="1:4" ht="13.8" thickBot="1" x14ac:dyDescent="0.3"/>
    <row r="3" spans="1:4" ht="27.6" x14ac:dyDescent="0.25">
      <c r="A3" s="78" t="s">
        <v>78</v>
      </c>
      <c r="B3" s="79" t="s">
        <v>80</v>
      </c>
      <c r="C3" s="103" t="s">
        <v>116</v>
      </c>
      <c r="D3" s="104" t="s">
        <v>117</v>
      </c>
    </row>
    <row r="4" spans="1:4" ht="13.8" x14ac:dyDescent="0.25">
      <c r="A4" s="64" t="s">
        <v>1</v>
      </c>
      <c r="B4" s="12">
        <v>122</v>
      </c>
      <c r="C4" s="12">
        <v>122</v>
      </c>
      <c r="D4" s="82">
        <v>1</v>
      </c>
    </row>
    <row r="5" spans="1:4" ht="13.8" x14ac:dyDescent="0.25">
      <c r="A5" s="64" t="s">
        <v>0</v>
      </c>
      <c r="B5" s="12">
        <v>100</v>
      </c>
      <c r="C5" s="12">
        <v>97</v>
      </c>
      <c r="D5" s="82">
        <v>0.96</v>
      </c>
    </row>
    <row r="6" spans="1:4" ht="13.8" x14ac:dyDescent="0.25">
      <c r="A6" s="64" t="s">
        <v>11</v>
      </c>
      <c r="B6" s="12">
        <v>57</v>
      </c>
      <c r="C6" s="12">
        <v>47</v>
      </c>
      <c r="D6" s="82">
        <f>C6/B6</f>
        <v>0.82456140350877194</v>
      </c>
    </row>
    <row r="7" spans="1:4" ht="13.8" x14ac:dyDescent="0.25">
      <c r="A7" s="64" t="s">
        <v>2</v>
      </c>
      <c r="B7" s="12">
        <v>38</v>
      </c>
      <c r="C7" s="12">
        <v>37</v>
      </c>
      <c r="D7" s="82">
        <f>C7/B7</f>
        <v>0.97368421052631582</v>
      </c>
    </row>
    <row r="8" spans="1:4" ht="13.8" x14ac:dyDescent="0.25">
      <c r="A8" s="64" t="s">
        <v>8</v>
      </c>
      <c r="B8" s="12">
        <v>325</v>
      </c>
      <c r="C8" s="12">
        <v>310</v>
      </c>
      <c r="D8" s="82">
        <f>C8/B8</f>
        <v>0.9538461538461539</v>
      </c>
    </row>
    <row r="9" spans="1:4" ht="13.8" x14ac:dyDescent="0.25">
      <c r="A9" s="64" t="s">
        <v>10</v>
      </c>
      <c r="B9" s="12">
        <v>235</v>
      </c>
      <c r="C9" s="12">
        <v>216</v>
      </c>
      <c r="D9" s="82">
        <f>C9/B9</f>
        <v>0.91914893617021276</v>
      </c>
    </row>
    <row r="10" spans="1:4" ht="13.8" x14ac:dyDescent="0.25">
      <c r="A10" s="64" t="s">
        <v>3</v>
      </c>
      <c r="B10" s="12">
        <v>21</v>
      </c>
      <c r="C10" s="12">
        <v>21</v>
      </c>
      <c r="D10" s="82">
        <f>C10/B10</f>
        <v>1</v>
      </c>
    </row>
    <row r="11" spans="1:4" ht="13.8" x14ac:dyDescent="0.25">
      <c r="A11" s="64" t="s">
        <v>4</v>
      </c>
      <c r="B11" s="12">
        <v>10</v>
      </c>
      <c r="C11" s="12">
        <v>9</v>
      </c>
      <c r="D11" s="82">
        <v>1</v>
      </c>
    </row>
    <row r="12" spans="1:4" ht="13.8" x14ac:dyDescent="0.25">
      <c r="A12" s="64" t="s">
        <v>5</v>
      </c>
      <c r="B12" s="12">
        <v>26</v>
      </c>
      <c r="C12" s="12">
        <v>26</v>
      </c>
      <c r="D12" s="82">
        <v>1</v>
      </c>
    </row>
    <row r="13" spans="1:4" ht="13.8" x14ac:dyDescent="0.25">
      <c r="A13" s="64" t="s">
        <v>9</v>
      </c>
      <c r="B13" s="12">
        <v>4</v>
      </c>
      <c r="C13" s="12">
        <v>4</v>
      </c>
      <c r="D13" s="82">
        <v>1</v>
      </c>
    </row>
    <row r="14" spans="1:4" ht="13.8" x14ac:dyDescent="0.25">
      <c r="A14" s="64" t="s">
        <v>6</v>
      </c>
      <c r="B14" s="12">
        <v>5</v>
      </c>
      <c r="C14" s="12">
        <v>5</v>
      </c>
      <c r="D14" s="82">
        <v>1</v>
      </c>
    </row>
    <row r="15" spans="1:4" ht="13.8" x14ac:dyDescent="0.25">
      <c r="A15" s="64" t="s">
        <v>7</v>
      </c>
      <c r="B15" s="12">
        <v>3</v>
      </c>
      <c r="C15" s="12">
        <v>3</v>
      </c>
      <c r="D15" s="82">
        <v>1</v>
      </c>
    </row>
    <row r="16" spans="1:4" ht="14.4" thickBot="1" x14ac:dyDescent="0.3">
      <c r="A16" s="105" t="s">
        <v>12</v>
      </c>
      <c r="B16" s="18">
        <v>3</v>
      </c>
      <c r="C16" s="18">
        <v>3</v>
      </c>
      <c r="D16" s="106">
        <v>1</v>
      </c>
    </row>
    <row r="17" spans="1:4" ht="15" thickTop="1" thickBot="1" x14ac:dyDescent="0.3">
      <c r="A17" s="107" t="s">
        <v>14</v>
      </c>
      <c r="B17" s="41">
        <f>SUM(B4:B16)</f>
        <v>949</v>
      </c>
      <c r="C17" s="41">
        <f>SUM(C4:C16)</f>
        <v>900</v>
      </c>
      <c r="D17" s="108">
        <v>0.95</v>
      </c>
    </row>
    <row r="19" spans="1:4" x14ac:dyDescent="0.25">
      <c r="A19" s="21" t="s">
        <v>121</v>
      </c>
    </row>
  </sheetData>
  <printOptions horizontalCentered="1"/>
  <pageMargins left="0.25" right="0.25" top="0.75" bottom="0.5" header="0.3" footer="0.3"/>
  <pageSetup orientation="landscape" r:id="rId1"/>
  <headerFooter scaleWithDoc="0">
    <oddHeader>&amp;C&amp;"Arial,Bold"&amp;14Snapshot 2022 Canada's Newspaper Industry</oddHeader>
    <oddFooter>&amp;LNews Media Canada&amp;C&amp;P&amp;RJuly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I57"/>
  <sheetViews>
    <sheetView zoomScaleNormal="100" zoomScaleSheetLayoutView="100" workbookViewId="0"/>
  </sheetViews>
  <sheetFormatPr defaultRowHeight="13.2" x14ac:dyDescent="0.25"/>
  <cols>
    <col min="1" max="1" width="19.21875" customWidth="1"/>
    <col min="2" max="3" width="11.109375" style="1" bestFit="1" customWidth="1"/>
    <col min="4" max="4" width="14.109375" style="1" customWidth="1"/>
    <col min="5" max="5" width="14.33203125" style="1" customWidth="1"/>
    <col min="6" max="6" width="13.5546875" style="1" customWidth="1"/>
    <col min="7" max="7" width="11.5546875" style="1" bestFit="1" customWidth="1"/>
    <col min="8" max="8" width="14.21875" bestFit="1" customWidth="1"/>
    <col min="9" max="9" width="13.109375" bestFit="1" customWidth="1"/>
  </cols>
  <sheetData>
    <row r="1" spans="1:9" ht="23.4" x14ac:dyDescent="0.45">
      <c r="A1" s="2" t="s">
        <v>16</v>
      </c>
    </row>
    <row r="2" spans="1:9" ht="23.4" x14ac:dyDescent="0.45">
      <c r="A2" s="2" t="s">
        <v>64</v>
      </c>
    </row>
    <row r="3" spans="1:9" ht="13.8" thickBot="1" x14ac:dyDescent="0.3"/>
    <row r="4" spans="1:9" s="7" customFormat="1" ht="55.2" x14ac:dyDescent="0.25">
      <c r="A4" s="109" t="s">
        <v>71</v>
      </c>
      <c r="B4" s="110" t="s">
        <v>15</v>
      </c>
      <c r="C4" s="110" t="s">
        <v>17</v>
      </c>
      <c r="D4" s="110" t="s">
        <v>18</v>
      </c>
      <c r="E4" s="110" t="s">
        <v>19</v>
      </c>
      <c r="F4" s="110" t="s">
        <v>20</v>
      </c>
      <c r="G4" s="110" t="s">
        <v>21</v>
      </c>
      <c r="H4" s="110" t="s">
        <v>58</v>
      </c>
      <c r="I4" s="118" t="s">
        <v>59</v>
      </c>
    </row>
    <row r="5" spans="1:9" s="8" customFormat="1" ht="13.8" x14ac:dyDescent="0.25">
      <c r="A5" s="81" t="s">
        <v>1</v>
      </c>
      <c r="B5" s="113">
        <v>5</v>
      </c>
      <c r="C5" s="113">
        <v>29</v>
      </c>
      <c r="D5" s="113">
        <v>828371</v>
      </c>
      <c r="E5" s="113">
        <v>233543</v>
      </c>
      <c r="F5" s="113">
        <f>Table25[[#This Row],[Total Paid Circulation]]+Table25[[#This Row],[Total Controlled Circulation]]</f>
        <v>1061914</v>
      </c>
      <c r="G5" s="119">
        <v>36617.724137931036</v>
      </c>
      <c r="H5" s="113">
        <v>4114</v>
      </c>
      <c r="I5" s="120">
        <v>79951</v>
      </c>
    </row>
    <row r="6" spans="1:9" s="8" customFormat="1" ht="13.8" x14ac:dyDescent="0.25">
      <c r="A6" s="81" t="s">
        <v>0</v>
      </c>
      <c r="B6" s="113">
        <v>7</v>
      </c>
      <c r="C6" s="113">
        <v>43</v>
      </c>
      <c r="D6" s="113">
        <v>849589</v>
      </c>
      <c r="E6" s="113">
        <v>399275</v>
      </c>
      <c r="F6" s="113">
        <f>Table25[[#This Row],[Total Paid Circulation]]+Table25[[#This Row],[Total Controlled Circulation]]</f>
        <v>1248864</v>
      </c>
      <c r="G6" s="119">
        <v>29043.348837209302</v>
      </c>
      <c r="H6" s="113">
        <v>6278</v>
      </c>
      <c r="I6" s="120">
        <v>50351</v>
      </c>
    </row>
    <row r="7" spans="1:9" s="8" customFormat="1" ht="13.8" x14ac:dyDescent="0.25">
      <c r="A7" s="81" t="s">
        <v>11</v>
      </c>
      <c r="B7" s="113">
        <v>3</v>
      </c>
      <c r="C7" s="113">
        <v>16</v>
      </c>
      <c r="D7" s="113">
        <v>160903</v>
      </c>
      <c r="E7" s="113">
        <v>53327</v>
      </c>
      <c r="F7" s="113">
        <f>Table25[[#This Row],[Total Paid Circulation]]+Table25[[#This Row],[Total Controlled Circulation]]</f>
        <v>214230</v>
      </c>
      <c r="G7" s="119">
        <v>13389.375</v>
      </c>
      <c r="H7" s="113">
        <v>2800</v>
      </c>
      <c r="I7" s="120">
        <v>22040</v>
      </c>
    </row>
    <row r="8" spans="1:9" s="8" customFormat="1" ht="13.8" x14ac:dyDescent="0.25">
      <c r="A8" s="81" t="s">
        <v>2</v>
      </c>
      <c r="B8" s="113">
        <v>3</v>
      </c>
      <c r="C8" s="113">
        <v>18</v>
      </c>
      <c r="D8" s="113">
        <v>495023</v>
      </c>
      <c r="E8" s="113">
        <v>471126</v>
      </c>
      <c r="F8" s="113">
        <f>Table25[[#This Row],[Total Paid Circulation]]+Table25[[#This Row],[Total Controlled Circulation]]</f>
        <v>966149</v>
      </c>
      <c r="G8" s="119">
        <v>53674.944444444445</v>
      </c>
      <c r="H8" s="113">
        <v>8537</v>
      </c>
      <c r="I8" s="120">
        <v>101739</v>
      </c>
    </row>
    <row r="9" spans="1:9" s="8" customFormat="1" ht="13.8" x14ac:dyDescent="0.25">
      <c r="A9" s="81" t="s">
        <v>8</v>
      </c>
      <c r="B9" s="113">
        <v>32</v>
      </c>
      <c r="C9" s="113">
        <v>181</v>
      </c>
      <c r="D9" s="113">
        <v>4107963</v>
      </c>
      <c r="E9" s="113">
        <v>1310090</v>
      </c>
      <c r="F9" s="113">
        <f>Table25[[#This Row],[Total Paid Circulation]]+Table25[[#This Row],[Total Controlled Circulation]]</f>
        <v>5418053</v>
      </c>
      <c r="G9" s="119">
        <v>29933.994475138123</v>
      </c>
      <c r="H9" s="113">
        <v>2599</v>
      </c>
      <c r="I9" s="120">
        <v>221790</v>
      </c>
    </row>
    <row r="10" spans="1:9" s="8" customFormat="1" ht="13.8" x14ac:dyDescent="0.25">
      <c r="A10" s="81" t="s">
        <v>10</v>
      </c>
      <c r="B10" s="113">
        <v>12</v>
      </c>
      <c r="C10" s="113">
        <v>75</v>
      </c>
      <c r="D10" s="113">
        <v>2791241</v>
      </c>
      <c r="E10" s="113">
        <v>3389856</v>
      </c>
      <c r="F10" s="113">
        <f>Table25[[#This Row],[Total Paid Circulation]]+Table25[[#This Row],[Total Controlled Circulation]]</f>
        <v>6181097</v>
      </c>
      <c r="G10" s="119">
        <v>82414.626666666663</v>
      </c>
      <c r="H10" s="113">
        <v>3826</v>
      </c>
      <c r="I10" s="120">
        <v>286571</v>
      </c>
    </row>
    <row r="11" spans="1:9" s="8" customFormat="1" ht="13.8" x14ac:dyDescent="0.25">
      <c r="A11" s="81" t="s">
        <v>3</v>
      </c>
      <c r="B11" s="113">
        <v>4</v>
      </c>
      <c r="C11" s="113">
        <v>24</v>
      </c>
      <c r="D11" s="113">
        <v>331032</v>
      </c>
      <c r="E11" s="113">
        <v>7812</v>
      </c>
      <c r="F11" s="113">
        <f>Table25[[#This Row],[Total Paid Circulation]]+Table25[[#This Row],[Total Controlled Circulation]]</f>
        <v>338844</v>
      </c>
      <c r="G11" s="119">
        <v>14118.5</v>
      </c>
      <c r="H11" s="113">
        <v>9054</v>
      </c>
      <c r="I11" s="120">
        <v>18102</v>
      </c>
    </row>
    <row r="12" spans="1:9" s="8" customFormat="1" ht="13.8" x14ac:dyDescent="0.25">
      <c r="A12" s="81" t="s">
        <v>4</v>
      </c>
      <c r="B12" s="113">
        <v>1</v>
      </c>
      <c r="C12" s="113">
        <v>6</v>
      </c>
      <c r="D12" s="113">
        <v>58227</v>
      </c>
      <c r="E12" s="113">
        <v>50255</v>
      </c>
      <c r="F12" s="113">
        <f>Table25[[#This Row],[Total Paid Circulation]]+Table25[[#This Row],[Total Controlled Circulation]]</f>
        <v>108482</v>
      </c>
      <c r="G12" s="119">
        <v>18080.333333333332</v>
      </c>
      <c r="H12" s="113">
        <v>17558</v>
      </c>
      <c r="I12" s="120">
        <v>20692</v>
      </c>
    </row>
    <row r="13" spans="1:9" s="8" customFormat="1" ht="13.8" x14ac:dyDescent="0.25">
      <c r="A13" s="81" t="s">
        <v>5</v>
      </c>
      <c r="B13" s="113">
        <v>2</v>
      </c>
      <c r="C13" s="113">
        <v>12</v>
      </c>
      <c r="D13" s="113">
        <v>379468</v>
      </c>
      <c r="E13" s="113">
        <v>75956</v>
      </c>
      <c r="F13" s="113">
        <f>Table25[[#This Row],[Total Paid Circulation]]+Table25[[#This Row],[Total Controlled Circulation]]</f>
        <v>455424</v>
      </c>
      <c r="G13" s="119">
        <v>37952</v>
      </c>
      <c r="H13" s="113">
        <v>12383</v>
      </c>
      <c r="I13" s="120">
        <v>68831</v>
      </c>
    </row>
    <row r="14" spans="1:9" s="8" customFormat="1" ht="13.8" x14ac:dyDescent="0.25">
      <c r="A14" s="81" t="s">
        <v>9</v>
      </c>
      <c r="B14" s="113">
        <v>2</v>
      </c>
      <c r="C14" s="113">
        <v>12</v>
      </c>
      <c r="D14" s="113">
        <v>87895</v>
      </c>
      <c r="E14" s="113">
        <v>1155</v>
      </c>
      <c r="F14" s="113">
        <f>Table25[[#This Row],[Total Paid Circulation]]+Table25[[#This Row],[Total Controlled Circulation]]</f>
        <v>89050</v>
      </c>
      <c r="G14" s="119">
        <v>7420.833333333333</v>
      </c>
      <c r="H14" s="113">
        <v>3778</v>
      </c>
      <c r="I14" s="120">
        <v>11452</v>
      </c>
    </row>
    <row r="15" spans="1:9" s="8" customFormat="1" ht="13.8" x14ac:dyDescent="0.25">
      <c r="A15" s="81" t="s">
        <v>6</v>
      </c>
      <c r="B15" s="113"/>
      <c r="C15" s="113"/>
      <c r="D15" s="113"/>
      <c r="E15" s="113"/>
      <c r="F15" s="113">
        <f>Table25[[#This Row],[Total Paid Circulation]]+Table25[[#This Row],[Total Controlled Circulation]]</f>
        <v>0</v>
      </c>
      <c r="G15" s="113"/>
      <c r="H15" s="113"/>
      <c r="I15" s="120"/>
    </row>
    <row r="16" spans="1:9" s="8" customFormat="1" ht="13.8" x14ac:dyDescent="0.25">
      <c r="A16" s="81" t="s">
        <v>7</v>
      </c>
      <c r="B16" s="113"/>
      <c r="C16" s="113"/>
      <c r="D16" s="113"/>
      <c r="E16" s="113"/>
      <c r="F16" s="113">
        <f>Table25[[#This Row],[Total Paid Circulation]]+Table25[[#This Row],[Total Controlled Circulation]]</f>
        <v>0</v>
      </c>
      <c r="G16" s="113"/>
      <c r="H16" s="113"/>
      <c r="I16" s="120"/>
    </row>
    <row r="17" spans="1:9" s="8" customFormat="1" ht="13.8" x14ac:dyDescent="0.25">
      <c r="A17" s="81" t="s">
        <v>12</v>
      </c>
      <c r="B17" s="113"/>
      <c r="C17" s="113"/>
      <c r="D17" s="113"/>
      <c r="E17" s="113"/>
      <c r="F17" s="113">
        <f>Table25[[#This Row],[Total Paid Circulation]]+Table25[[#This Row],[Total Controlled Circulation]]</f>
        <v>0</v>
      </c>
      <c r="G17" s="119"/>
      <c r="H17" s="113"/>
      <c r="I17" s="120"/>
    </row>
    <row r="18" spans="1:9" s="8" customFormat="1" ht="14.4" thickBot="1" x14ac:dyDescent="0.3">
      <c r="A18" s="121" t="s">
        <v>14</v>
      </c>
      <c r="B18" s="122">
        <f>SUBTOTAL(109,Table25[Total '# of Titles])</f>
        <v>71</v>
      </c>
      <c r="C18" s="122">
        <f>SUBTOTAL(109,Table25[Total '# of Editions])</f>
        <v>416</v>
      </c>
      <c r="D18" s="122">
        <f>SUBTOTAL(109,Table25[Total Paid Circulation])</f>
        <v>10089712</v>
      </c>
      <c r="E18" s="122">
        <f>SUBTOTAL(109,Table25[Total Controlled Circulation])</f>
        <v>5992395</v>
      </c>
      <c r="F18" s="122">
        <f>SUBTOTAL(109,Table25[Total Circ All Editions])</f>
        <v>16082107</v>
      </c>
      <c r="G18" s="123">
        <f>Table25[[#Totals],[Total Circ All Editions]]/Table25[[#Totals],[Total '# of Editions]]</f>
        <v>38658.911057692305</v>
      </c>
      <c r="H18" s="122">
        <f>SUBTOTAL(105,Table318[Newspaper with Smallest Total Circulation])</f>
        <v>2599</v>
      </c>
      <c r="I18" s="124">
        <f>SUBTOTAL(104,Table318[Newspaper with Largest Total Circulation])</f>
        <v>286571</v>
      </c>
    </row>
    <row r="19" spans="1:9" x14ac:dyDescent="0.25">
      <c r="D19" s="11"/>
      <c r="E19" s="11"/>
    </row>
    <row r="20" spans="1:9" ht="23.4" x14ac:dyDescent="0.45">
      <c r="A20" s="2" t="s">
        <v>13</v>
      </c>
      <c r="G20"/>
    </row>
    <row r="21" spans="1:9" ht="13.8" thickBot="1" x14ac:dyDescent="0.3">
      <c r="G21"/>
    </row>
    <row r="22" spans="1:9" s="8" customFormat="1" ht="41.4" x14ac:dyDescent="0.25">
      <c r="A22" s="109" t="s">
        <v>71</v>
      </c>
      <c r="B22" s="110" t="s">
        <v>51</v>
      </c>
      <c r="C22" s="110" t="s">
        <v>52</v>
      </c>
      <c r="D22" s="110" t="s">
        <v>53</v>
      </c>
      <c r="E22" s="111" t="s">
        <v>54</v>
      </c>
      <c r="F22" s="111" t="s">
        <v>55</v>
      </c>
      <c r="G22" s="112" t="s">
        <v>56</v>
      </c>
    </row>
    <row r="23" spans="1:9" s="8" customFormat="1" ht="13.8" x14ac:dyDescent="0.25">
      <c r="A23" s="81" t="s">
        <v>1</v>
      </c>
      <c r="B23" s="113">
        <v>0</v>
      </c>
      <c r="C23" s="113"/>
      <c r="D23" s="113">
        <v>1</v>
      </c>
      <c r="E23" s="40">
        <v>4</v>
      </c>
      <c r="F23" s="113"/>
      <c r="G23" s="114">
        <f>SUM(Table120[[#This Row],['# Titles publishing 3/week]:['# Titles publishing 7/week]])</f>
        <v>5</v>
      </c>
    </row>
    <row r="24" spans="1:9" s="8" customFormat="1" ht="13.8" x14ac:dyDescent="0.25">
      <c r="A24" s="81" t="s">
        <v>0</v>
      </c>
      <c r="B24" s="113">
        <v>0</v>
      </c>
      <c r="C24" s="113"/>
      <c r="D24" s="113">
        <v>1</v>
      </c>
      <c r="E24" s="40">
        <v>4</v>
      </c>
      <c r="F24" s="40">
        <v>2</v>
      </c>
      <c r="G24" s="114">
        <f>SUM(Table120[[#This Row],['# Titles publishing 3/week]:['# Titles publishing 7/week]])</f>
        <v>7</v>
      </c>
    </row>
    <row r="25" spans="1:9" s="8" customFormat="1" ht="13.8" x14ac:dyDescent="0.25">
      <c r="A25" s="81" t="s">
        <v>11</v>
      </c>
      <c r="B25" s="113">
        <v>0</v>
      </c>
      <c r="C25" s="113"/>
      <c r="D25" s="113">
        <v>2</v>
      </c>
      <c r="E25" s="40">
        <v>1</v>
      </c>
      <c r="F25" s="113"/>
      <c r="G25" s="114">
        <f>SUM(Table120[[#This Row],['# Titles publishing 3/week]:['# Titles publishing 7/week]])</f>
        <v>3</v>
      </c>
    </row>
    <row r="26" spans="1:9" s="8" customFormat="1" ht="13.8" x14ac:dyDescent="0.25">
      <c r="A26" s="81" t="s">
        <v>2</v>
      </c>
      <c r="B26" s="113">
        <v>0</v>
      </c>
      <c r="C26" s="113"/>
      <c r="D26" s="113"/>
      <c r="E26" s="40">
        <v>3</v>
      </c>
      <c r="F26" s="113"/>
      <c r="G26" s="114">
        <f>SUM(Table120[[#This Row],['# Titles publishing 3/week]:['# Titles publishing 7/week]])</f>
        <v>3</v>
      </c>
    </row>
    <row r="27" spans="1:9" s="8" customFormat="1" ht="13.8" x14ac:dyDescent="0.25">
      <c r="A27" s="81" t="s">
        <v>8</v>
      </c>
      <c r="B27" s="113">
        <v>0</v>
      </c>
      <c r="C27" s="113">
        <v>2</v>
      </c>
      <c r="D27" s="113">
        <v>10</v>
      </c>
      <c r="E27" s="40">
        <v>17</v>
      </c>
      <c r="F27" s="40">
        <v>3</v>
      </c>
      <c r="G27" s="114">
        <f>SUM(Table120[[#This Row],['# Titles publishing 3/week]:['# Titles publishing 7/week]])</f>
        <v>32</v>
      </c>
    </row>
    <row r="28" spans="1:9" s="8" customFormat="1" ht="13.8" x14ac:dyDescent="0.25">
      <c r="A28" s="81" t="s">
        <v>10</v>
      </c>
      <c r="B28" s="113">
        <v>0</v>
      </c>
      <c r="C28" s="113"/>
      <c r="D28" s="113">
        <v>2</v>
      </c>
      <c r="E28" s="40">
        <v>5</v>
      </c>
      <c r="F28" s="40">
        <v>5</v>
      </c>
      <c r="G28" s="114">
        <f>SUM(Table120[[#This Row],['# Titles publishing 3/week]:['# Titles publishing 7/week]])</f>
        <v>12</v>
      </c>
    </row>
    <row r="29" spans="1:9" s="8" customFormat="1" ht="13.8" x14ac:dyDescent="0.25">
      <c r="A29" s="81" t="s">
        <v>3</v>
      </c>
      <c r="B29" s="113">
        <v>0</v>
      </c>
      <c r="C29" s="113"/>
      <c r="D29" s="113"/>
      <c r="E29" s="40">
        <v>4</v>
      </c>
      <c r="F29" s="113"/>
      <c r="G29" s="114">
        <f>SUM(Table120[[#This Row],['# Titles publishing 3/week]:['# Titles publishing 7/week]])</f>
        <v>4</v>
      </c>
    </row>
    <row r="30" spans="1:9" s="8" customFormat="1" ht="13.8" x14ac:dyDescent="0.25">
      <c r="A30" s="81" t="s">
        <v>4</v>
      </c>
      <c r="B30" s="113">
        <v>0</v>
      </c>
      <c r="C30" s="113"/>
      <c r="D30" s="113"/>
      <c r="E30" s="40">
        <v>1</v>
      </c>
      <c r="F30" s="113"/>
      <c r="G30" s="114">
        <f>SUM(Table120[[#This Row],['# Titles publishing 3/week]:['# Titles publishing 7/week]])</f>
        <v>1</v>
      </c>
    </row>
    <row r="31" spans="1:9" s="8" customFormat="1" ht="13.8" x14ac:dyDescent="0.25">
      <c r="A31" s="81" t="s">
        <v>5</v>
      </c>
      <c r="B31" s="113">
        <v>0</v>
      </c>
      <c r="C31" s="113"/>
      <c r="D31" s="113"/>
      <c r="E31" s="40">
        <v>2</v>
      </c>
      <c r="F31" s="113"/>
      <c r="G31" s="114">
        <f>SUM(Table120[[#This Row],['# Titles publishing 3/week]:['# Titles publishing 7/week]])</f>
        <v>2</v>
      </c>
    </row>
    <row r="32" spans="1:9" s="8" customFormat="1" ht="13.8" x14ac:dyDescent="0.25">
      <c r="A32" s="81" t="s">
        <v>9</v>
      </c>
      <c r="B32" s="113">
        <v>0</v>
      </c>
      <c r="C32" s="113"/>
      <c r="D32" s="113"/>
      <c r="E32" s="40">
        <v>2</v>
      </c>
      <c r="F32" s="113"/>
      <c r="G32" s="114">
        <f>SUM(Table120[[#This Row],['# Titles publishing 3/week]:['# Titles publishing 7/week]])</f>
        <v>2</v>
      </c>
    </row>
    <row r="33" spans="1:7" s="8" customFormat="1" ht="13.8" x14ac:dyDescent="0.25">
      <c r="A33" s="81" t="s">
        <v>6</v>
      </c>
      <c r="B33" s="113">
        <v>0</v>
      </c>
      <c r="C33" s="113"/>
      <c r="D33" s="113"/>
      <c r="E33" s="113"/>
      <c r="F33" s="113"/>
      <c r="G33" s="114">
        <f>SUM(Table120[[#This Row],['# Titles publishing 3/week]:['# Titles publishing 7/week]])</f>
        <v>0</v>
      </c>
    </row>
    <row r="34" spans="1:7" s="8" customFormat="1" ht="13.8" x14ac:dyDescent="0.25">
      <c r="A34" s="81" t="s">
        <v>7</v>
      </c>
      <c r="B34" s="113">
        <v>0</v>
      </c>
      <c r="C34" s="113"/>
      <c r="D34" s="113"/>
      <c r="E34" s="113"/>
      <c r="F34" s="113"/>
      <c r="G34" s="114">
        <f>SUM(Table120[[#This Row],['# Titles publishing 3/week]:['# Titles publishing 7/week]])</f>
        <v>0</v>
      </c>
    </row>
    <row r="35" spans="1:7" s="8" customFormat="1" ht="13.8" x14ac:dyDescent="0.25">
      <c r="A35" s="81" t="s">
        <v>12</v>
      </c>
      <c r="B35" s="113">
        <v>0</v>
      </c>
      <c r="C35" s="113"/>
      <c r="D35" s="113"/>
      <c r="E35" s="113"/>
      <c r="F35" s="113"/>
      <c r="G35" s="114">
        <f>SUM(Table120[[#This Row],['# Titles publishing 3/week]:['# Titles publishing 7/week]])</f>
        <v>0</v>
      </c>
    </row>
    <row r="36" spans="1:7" s="8" customFormat="1" ht="14.4" thickBot="1" x14ac:dyDescent="0.3">
      <c r="A36" s="173" t="s">
        <v>15</v>
      </c>
      <c r="B36" s="40">
        <f>SUBTOTAL(109,Table120['# Titles publishing 3/week])</f>
        <v>0</v>
      </c>
      <c r="C36" s="40">
        <f>SUBTOTAL(109,Table120['# Titles publishing 4/week])</f>
        <v>2</v>
      </c>
      <c r="D36" s="40">
        <f>SUBTOTAL(109,Table120['# Titles publishing 5/week])</f>
        <v>16</v>
      </c>
      <c r="E36" s="40">
        <f>SUBTOTAL(109,Table120['# Titles publishing 6/week])</f>
        <v>43</v>
      </c>
      <c r="F36" s="40">
        <f>SUBTOTAL(109,Table120['# Titles publishing 7/week])</f>
        <v>10</v>
      </c>
      <c r="G36" s="114">
        <f>SUBTOTAL(109,Table120[Provincial Total])</f>
        <v>71</v>
      </c>
    </row>
    <row r="37" spans="1:7" s="8" customFormat="1" ht="15" thickTop="1" thickBot="1" x14ac:dyDescent="0.3">
      <c r="A37" s="115" t="s">
        <v>17</v>
      </c>
      <c r="B37" s="116">
        <f>Table120[[#Totals],['# Titles publishing 3/week]]*3</f>
        <v>0</v>
      </c>
      <c r="C37" s="116">
        <f>Table120[[#Totals],['# Titles publishing 4/week]]*4</f>
        <v>8</v>
      </c>
      <c r="D37" s="116">
        <f>Table120[[#Totals],['# Titles publishing 5/week]]*5</f>
        <v>80</v>
      </c>
      <c r="E37" s="116">
        <f>Table120[[#Totals],['# Titles publishing 6/week]]*6</f>
        <v>258</v>
      </c>
      <c r="F37" s="116">
        <f>Table120[[#Totals],['# Titles publishing 7/week]]*7</f>
        <v>70</v>
      </c>
      <c r="G37" s="117">
        <f>SUM(B37:F37)</f>
        <v>416</v>
      </c>
    </row>
    <row r="38" spans="1:7" x14ac:dyDescent="0.25">
      <c r="C38" s="11">
        <f>Table120[[#Totals],['# Titles publishing 4/week]]/Table120[[#Totals],[Provincial Total]]</f>
        <v>2.8169014084507043E-2</v>
      </c>
      <c r="D38" s="11">
        <f>Table120[[#Totals],['# Titles publishing 5/week]]/Table120[[#Totals],[Provincial Total]]</f>
        <v>0.22535211267605634</v>
      </c>
      <c r="E38" s="11">
        <f>Table120[[#Totals],['# Titles publishing 6/week]]/Table120[[#Totals],[Provincial Total]]</f>
        <v>0.60563380281690138</v>
      </c>
      <c r="F38" s="11">
        <f>Table120[[#Totals],['# Titles publishing 7/week]]/Table120[[#Totals],[Provincial Total]]</f>
        <v>0.14084507042253522</v>
      </c>
    </row>
    <row r="39" spans="1:7" x14ac:dyDescent="0.25">
      <c r="D39" s="11"/>
      <c r="E39" s="11"/>
      <c r="F39" s="11"/>
    </row>
    <row r="43" spans="1:7" x14ac:dyDescent="0.25">
      <c r="B43"/>
      <c r="C43"/>
    </row>
    <row r="44" spans="1:7" x14ac:dyDescent="0.25">
      <c r="A44" s="5" t="s">
        <v>121</v>
      </c>
    </row>
    <row r="47" spans="1:7" x14ac:dyDescent="0.25">
      <c r="B47"/>
    </row>
    <row r="48" spans="1:7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</sheetData>
  <printOptions horizontalCentered="1"/>
  <pageMargins left="0.25" right="0.25" top="0.75" bottom="0.5" header="0.3" footer="0.3"/>
  <pageSetup fitToHeight="0" orientation="landscape" r:id="rId1"/>
  <headerFooter scaleWithDoc="0">
    <oddHeader>&amp;C&amp;"Arial,Bold"&amp;14Snapshot 2022 Canada's Newspaper Industry</oddHeader>
    <oddFooter>&amp;LNews Media Canada&amp;C&amp;P&amp;RJuly 2022</oddFooter>
  </headerFooter>
  <rowBreaks count="1" manualBreakCount="1">
    <brk id="19" max="16383" man="1"/>
  </rowBreaks>
  <tableParts count="3"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1"/>
  <sheetViews>
    <sheetView zoomScaleNormal="100" zoomScaleSheetLayoutView="100" workbookViewId="0">
      <selection activeCell="G9" sqref="G9"/>
    </sheetView>
  </sheetViews>
  <sheetFormatPr defaultRowHeight="13.2" x14ac:dyDescent="0.25"/>
  <cols>
    <col min="1" max="1" width="61.6640625" bestFit="1" customWidth="1"/>
    <col min="2" max="2" width="12" style="3" bestFit="1" customWidth="1"/>
    <col min="3" max="3" width="11.77734375" bestFit="1" customWidth="1"/>
  </cols>
  <sheetData>
    <row r="1" spans="1:3" ht="23.4" x14ac:dyDescent="0.45">
      <c r="A1" s="2" t="s">
        <v>22</v>
      </c>
    </row>
    <row r="2" spans="1:3" ht="23.4" x14ac:dyDescent="0.45">
      <c r="A2" s="2" t="s">
        <v>64</v>
      </c>
    </row>
    <row r="4" spans="1:3" s="8" customFormat="1" ht="27.6" x14ac:dyDescent="0.25">
      <c r="A4" s="125" t="s">
        <v>28</v>
      </c>
      <c r="B4" s="125" t="s">
        <v>57</v>
      </c>
      <c r="C4" s="126" t="s">
        <v>34</v>
      </c>
    </row>
    <row r="5" spans="1:3" s="8" customFormat="1" ht="13.8" x14ac:dyDescent="0.25">
      <c r="A5" s="8" t="s">
        <v>32</v>
      </c>
      <c r="B5" s="7">
        <v>3</v>
      </c>
      <c r="C5" s="113">
        <v>17</v>
      </c>
    </row>
    <row r="6" spans="1:3" s="8" customFormat="1" ht="13.8" x14ac:dyDescent="0.25">
      <c r="A6" s="8" t="s">
        <v>30</v>
      </c>
      <c r="B6" s="7">
        <v>1</v>
      </c>
      <c r="C6" s="113">
        <v>5</v>
      </c>
    </row>
    <row r="7" spans="1:3" s="8" customFormat="1" ht="13.8" x14ac:dyDescent="0.25">
      <c r="A7" s="8" t="s">
        <v>128</v>
      </c>
      <c r="B7" s="7">
        <v>1</v>
      </c>
      <c r="C7" s="113">
        <v>5</v>
      </c>
    </row>
    <row r="8" spans="1:3" s="8" customFormat="1" ht="13.8" x14ac:dyDescent="0.25">
      <c r="A8" s="8" t="s">
        <v>60</v>
      </c>
      <c r="B8" s="7">
        <v>6</v>
      </c>
      <c r="C8" s="113">
        <v>38</v>
      </c>
    </row>
    <row r="9" spans="1:3" s="8" customFormat="1" ht="13.8" x14ac:dyDescent="0.25">
      <c r="A9" s="8" t="s">
        <v>33</v>
      </c>
      <c r="B9" s="7">
        <v>2</v>
      </c>
      <c r="C9" s="113">
        <v>12</v>
      </c>
    </row>
    <row r="10" spans="1:3" s="8" customFormat="1" ht="13.8" x14ac:dyDescent="0.25">
      <c r="A10" s="8" t="s">
        <v>31</v>
      </c>
      <c r="B10" s="7">
        <v>1</v>
      </c>
      <c r="C10" s="113">
        <v>6</v>
      </c>
    </row>
    <row r="11" spans="1:3" s="8" customFormat="1" ht="13.8" x14ac:dyDescent="0.25">
      <c r="A11" s="8" t="s">
        <v>69</v>
      </c>
      <c r="B11" s="7">
        <v>1</v>
      </c>
      <c r="C11" s="113">
        <v>7</v>
      </c>
    </row>
    <row r="12" spans="1:3" s="8" customFormat="1" ht="13.8" x14ac:dyDescent="0.25">
      <c r="A12" s="8" t="s">
        <v>102</v>
      </c>
      <c r="B12" s="7">
        <v>2</v>
      </c>
      <c r="C12" s="113">
        <v>11</v>
      </c>
    </row>
    <row r="13" spans="1:3" s="8" customFormat="1" ht="13.8" x14ac:dyDescent="0.25">
      <c r="A13" s="8" t="s">
        <v>129</v>
      </c>
      <c r="B13" s="7">
        <v>35</v>
      </c>
      <c r="C13" s="113">
        <v>200</v>
      </c>
    </row>
    <row r="14" spans="1:3" s="8" customFormat="1" ht="13.8" x14ac:dyDescent="0.25">
      <c r="A14" s="8" t="s">
        <v>62</v>
      </c>
      <c r="B14" s="7">
        <v>3</v>
      </c>
      <c r="C14" s="113">
        <v>19</v>
      </c>
    </row>
    <row r="15" spans="1:3" s="8" customFormat="1" ht="13.8" x14ac:dyDescent="0.25">
      <c r="A15" s="8" t="s">
        <v>68</v>
      </c>
      <c r="B15" s="7">
        <v>5</v>
      </c>
      <c r="C15" s="127">
        <v>30</v>
      </c>
    </row>
    <row r="16" spans="1:3" s="8" customFormat="1" ht="13.8" x14ac:dyDescent="0.25">
      <c r="A16" s="8" t="s">
        <v>63</v>
      </c>
      <c r="B16" s="7">
        <v>1</v>
      </c>
      <c r="C16" s="113">
        <v>6</v>
      </c>
    </row>
    <row r="17" spans="1:3" s="8" customFormat="1" ht="13.8" x14ac:dyDescent="0.25">
      <c r="A17" s="8" t="s">
        <v>67</v>
      </c>
      <c r="B17" s="7">
        <v>7</v>
      </c>
      <c r="C17" s="113">
        <v>43</v>
      </c>
    </row>
    <row r="18" spans="1:3" s="8" customFormat="1" ht="13.8" x14ac:dyDescent="0.25">
      <c r="A18" s="8" t="s">
        <v>46</v>
      </c>
      <c r="B18" s="7">
        <v>3</v>
      </c>
      <c r="C18" s="113">
        <v>17</v>
      </c>
    </row>
    <row r="19" spans="1:3" s="8" customFormat="1" ht="13.8" x14ac:dyDescent="0.25">
      <c r="A19" s="8" t="s">
        <v>14</v>
      </c>
      <c r="B19" s="7">
        <f>SUBTOTAL(109,Table7[Daily Newspaper])</f>
        <v>71</v>
      </c>
      <c r="C19" s="7">
        <f>SUBTOTAL(109,Table7[Number of Editions])</f>
        <v>416</v>
      </c>
    </row>
    <row r="20" spans="1:3" s="8" customFormat="1" ht="14.4" thickBot="1" x14ac:dyDescent="0.3">
      <c r="B20" s="7"/>
    </row>
    <row r="21" spans="1:3" ht="14.4" thickBot="1" x14ac:dyDescent="0.3">
      <c r="A21" s="154" t="s">
        <v>72</v>
      </c>
      <c r="B21" s="155" t="s">
        <v>73</v>
      </c>
      <c r="C21" s="156" t="s">
        <v>74</v>
      </c>
    </row>
    <row r="22" spans="1:3" ht="13.8" x14ac:dyDescent="0.25">
      <c r="A22" s="9" t="s">
        <v>70</v>
      </c>
      <c r="B22" s="145">
        <f>SUM(B5:B17)</f>
        <v>68</v>
      </c>
      <c r="C22" s="146">
        <f>B22/B24</f>
        <v>0.95774647887323938</v>
      </c>
    </row>
    <row r="23" spans="1:3" ht="14.4" thickBot="1" x14ac:dyDescent="0.3">
      <c r="A23" s="10" t="s">
        <v>75</v>
      </c>
      <c r="B23" s="150">
        <f>B18</f>
        <v>3</v>
      </c>
      <c r="C23" s="106">
        <f>B23/B24</f>
        <v>4.2253521126760563E-2</v>
      </c>
    </row>
    <row r="24" spans="1:3" s="149" customFormat="1" ht="14.4" thickBot="1" x14ac:dyDescent="0.3">
      <c r="A24" s="151" t="s">
        <v>14</v>
      </c>
      <c r="B24" s="152">
        <f>SUM(B22:B23)</f>
        <v>71</v>
      </c>
      <c r="C24" s="153">
        <v>1</v>
      </c>
    </row>
    <row r="25" spans="1:3" ht="13.8" x14ac:dyDescent="0.25">
      <c r="A25" s="7"/>
      <c r="B25" s="7"/>
      <c r="C25" s="7"/>
    </row>
    <row r="26" spans="1:3" x14ac:dyDescent="0.25">
      <c r="A26" s="5" t="s">
        <v>121</v>
      </c>
    </row>
    <row r="41" spans="2:2" ht="13.8" x14ac:dyDescent="0.25">
      <c r="B41" s="7"/>
    </row>
  </sheetData>
  <printOptions horizontalCentered="1"/>
  <pageMargins left="0.25" right="0.25" top="0.75" bottom="0.5" header="0.3" footer="0.3"/>
  <pageSetup orientation="landscape" r:id="rId1"/>
  <headerFooter scaleWithDoc="0">
    <oddHeader>&amp;C&amp;"Arial,Bold"&amp;14Snapshot 2022 Canada's Newspaper Industry</oddHeader>
    <oddFooter>&amp;LNews Media Canada&amp;C&amp;P&amp;RJuly 2022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1"/>
  <sheetViews>
    <sheetView zoomScaleNormal="100" zoomScaleSheetLayoutView="100" workbookViewId="0">
      <selection activeCell="E22" sqref="E22"/>
    </sheetView>
  </sheetViews>
  <sheetFormatPr defaultRowHeight="13.2" x14ac:dyDescent="0.25"/>
  <cols>
    <col min="1" max="1" width="54.21875" customWidth="1"/>
    <col min="2" max="2" width="11" bestFit="1" customWidth="1"/>
    <col min="3" max="3" width="11.21875" bestFit="1" customWidth="1"/>
    <col min="4" max="5" width="9.5546875" bestFit="1" customWidth="1"/>
    <col min="6" max="7" width="11.21875" bestFit="1" customWidth="1"/>
    <col min="8" max="8" width="9.5546875" bestFit="1" customWidth="1"/>
    <col min="9" max="9" width="9.33203125" bestFit="1" customWidth="1"/>
    <col min="10" max="10" width="9.5546875" bestFit="1" customWidth="1"/>
    <col min="11" max="11" width="8.44140625" bestFit="1" customWidth="1"/>
    <col min="12" max="14" width="5.21875" bestFit="1" customWidth="1"/>
    <col min="15" max="15" width="12.33203125" bestFit="1" customWidth="1"/>
  </cols>
  <sheetData>
    <row r="1" spans="1:15" ht="23.4" x14ac:dyDescent="0.45">
      <c r="A1" s="2" t="s">
        <v>23</v>
      </c>
    </row>
    <row r="2" spans="1:15" ht="23.4" x14ac:dyDescent="0.45">
      <c r="A2" s="2" t="s">
        <v>64</v>
      </c>
    </row>
    <row r="4" spans="1:15" ht="13.8" x14ac:dyDescent="0.25">
      <c r="A4" s="125" t="s">
        <v>28</v>
      </c>
      <c r="B4" s="125" t="s">
        <v>1</v>
      </c>
      <c r="C4" s="126" t="s">
        <v>0</v>
      </c>
      <c r="D4" s="126" t="s">
        <v>11</v>
      </c>
      <c r="E4" s="126" t="s">
        <v>2</v>
      </c>
      <c r="F4" s="126" t="s">
        <v>8</v>
      </c>
      <c r="G4" s="126" t="s">
        <v>10</v>
      </c>
      <c r="H4" s="125" t="s">
        <v>3</v>
      </c>
      <c r="I4" s="125" t="s">
        <v>4</v>
      </c>
      <c r="J4" s="126" t="s">
        <v>5</v>
      </c>
      <c r="K4" s="126" t="s">
        <v>9</v>
      </c>
      <c r="L4" s="126" t="s">
        <v>6</v>
      </c>
      <c r="M4" s="126" t="s">
        <v>7</v>
      </c>
      <c r="N4" s="126" t="s">
        <v>12</v>
      </c>
      <c r="O4" s="125" t="s">
        <v>14</v>
      </c>
    </row>
    <row r="5" spans="1:15" ht="13.8" x14ac:dyDescent="0.25">
      <c r="A5" s="8" t="s">
        <v>32</v>
      </c>
      <c r="B5" s="7"/>
      <c r="C5" s="113">
        <v>2</v>
      </c>
      <c r="D5" s="113"/>
      <c r="E5" s="113"/>
      <c r="F5" s="113"/>
      <c r="G5" s="113">
        <v>1</v>
      </c>
      <c r="H5" s="8"/>
      <c r="I5" s="7"/>
      <c r="J5" s="113"/>
      <c r="K5" s="113"/>
      <c r="L5" s="113"/>
      <c r="M5" s="113"/>
      <c r="N5" s="113"/>
      <c r="O5" s="8">
        <f>SUM(Table6[[#This Row],[BC]:[YT]])</f>
        <v>3</v>
      </c>
    </row>
    <row r="6" spans="1:15" ht="13.8" x14ac:dyDescent="0.25">
      <c r="A6" s="8" t="s">
        <v>30</v>
      </c>
      <c r="B6" s="7"/>
      <c r="C6" s="113">
        <v>1</v>
      </c>
      <c r="D6" s="113"/>
      <c r="E6" s="113"/>
      <c r="F6" s="113"/>
      <c r="G6" s="113"/>
      <c r="H6" s="8"/>
      <c r="I6" s="7"/>
      <c r="J6" s="113"/>
      <c r="K6" s="113"/>
      <c r="L6" s="113"/>
      <c r="M6" s="113"/>
      <c r="N6" s="113"/>
      <c r="O6" s="8">
        <f>SUM(Table6[[#This Row],[BC]:[YT]])</f>
        <v>1</v>
      </c>
    </row>
    <row r="7" spans="1:15" ht="13.8" x14ac:dyDescent="0.25">
      <c r="A7" s="8" t="s">
        <v>128</v>
      </c>
      <c r="B7" s="7"/>
      <c r="C7" s="113"/>
      <c r="D7" s="113"/>
      <c r="E7" s="113"/>
      <c r="F7" s="113">
        <v>1</v>
      </c>
      <c r="G7" s="113"/>
      <c r="H7" s="8"/>
      <c r="I7" s="7"/>
      <c r="J7" s="113"/>
      <c r="K7" s="113"/>
      <c r="L7" s="113"/>
      <c r="M7" s="113"/>
      <c r="N7" s="113"/>
      <c r="O7" s="8">
        <f>SUM(Table6[[#This Row],[BC]:[YT]])</f>
        <v>1</v>
      </c>
    </row>
    <row r="8" spans="1:15" ht="13.8" x14ac:dyDescent="0.25">
      <c r="A8" s="8" t="s">
        <v>60</v>
      </c>
      <c r="B8" s="7"/>
      <c r="C8" s="113"/>
      <c r="D8" s="113"/>
      <c r="E8" s="113"/>
      <c r="F8" s="113">
        <v>1</v>
      </c>
      <c r="G8" s="113">
        <v>5</v>
      </c>
      <c r="H8" s="8"/>
      <c r="I8" s="7"/>
      <c r="J8" s="113"/>
      <c r="K8" s="113"/>
      <c r="L8" s="113"/>
      <c r="M8" s="113"/>
      <c r="N8" s="113"/>
      <c r="O8" s="8">
        <f>SUM(Table6[[#This Row],[BC]:[YT]])</f>
        <v>6</v>
      </c>
    </row>
    <row r="9" spans="1:15" ht="13.8" x14ac:dyDescent="0.25">
      <c r="A9" s="8" t="s">
        <v>33</v>
      </c>
      <c r="B9" s="7"/>
      <c r="C9" s="113"/>
      <c r="D9" s="113"/>
      <c r="E9" s="113">
        <v>2</v>
      </c>
      <c r="F9" s="113"/>
      <c r="G9" s="113"/>
      <c r="H9" s="8"/>
      <c r="I9" s="7"/>
      <c r="J9" s="113"/>
      <c r="K9" s="113"/>
      <c r="L9" s="113"/>
      <c r="M9" s="113"/>
      <c r="N9" s="113"/>
      <c r="O9" s="8">
        <f>SUM(Table6[[#This Row],[BC]:[YT]])</f>
        <v>2</v>
      </c>
    </row>
    <row r="10" spans="1:15" ht="13.8" x14ac:dyDescent="0.25">
      <c r="A10" s="8" t="s">
        <v>31</v>
      </c>
      <c r="B10" s="7">
        <v>1</v>
      </c>
      <c r="C10" s="113"/>
      <c r="D10" s="113"/>
      <c r="E10" s="113"/>
      <c r="F10" s="113"/>
      <c r="G10" s="113"/>
      <c r="H10" s="8"/>
      <c r="I10" s="7"/>
      <c r="J10" s="113"/>
      <c r="K10" s="113"/>
      <c r="L10" s="113"/>
      <c r="M10" s="113"/>
      <c r="N10" s="113"/>
      <c r="O10" s="8">
        <f>SUM(Table6[[#This Row],[BC]:[YT]])</f>
        <v>1</v>
      </c>
    </row>
    <row r="11" spans="1:15" ht="13.8" x14ac:dyDescent="0.25">
      <c r="A11" s="8" t="s">
        <v>69</v>
      </c>
      <c r="B11" s="7"/>
      <c r="C11" s="113"/>
      <c r="D11" s="113"/>
      <c r="E11" s="113"/>
      <c r="F11" s="113"/>
      <c r="G11" s="113">
        <v>1</v>
      </c>
      <c r="H11" s="8"/>
      <c r="I11" s="7"/>
      <c r="J11" s="113"/>
      <c r="K11" s="113"/>
      <c r="L11" s="113"/>
      <c r="M11" s="113"/>
      <c r="N11" s="113"/>
      <c r="O11" s="8">
        <f>SUM(Table6[[#This Row],[BC]:[YT]])</f>
        <v>1</v>
      </c>
    </row>
    <row r="12" spans="1:15" ht="13.8" x14ac:dyDescent="0.25">
      <c r="A12" s="8" t="s">
        <v>102</v>
      </c>
      <c r="B12" s="7">
        <v>2</v>
      </c>
      <c r="C12" s="113"/>
      <c r="D12" s="113"/>
      <c r="E12" s="113"/>
      <c r="F12" s="113"/>
      <c r="G12" s="113"/>
      <c r="H12" s="8"/>
      <c r="I12" s="7"/>
      <c r="J12" s="113"/>
      <c r="K12" s="113"/>
      <c r="L12" s="113"/>
      <c r="M12" s="113"/>
      <c r="N12" s="113"/>
      <c r="O12" s="8">
        <f>SUM(Table6[[#This Row],[BC]:[YT]])</f>
        <v>2</v>
      </c>
    </row>
    <row r="13" spans="1:15" ht="13.8" x14ac:dyDescent="0.25">
      <c r="A13" s="8" t="s">
        <v>129</v>
      </c>
      <c r="B13" s="7">
        <v>2</v>
      </c>
      <c r="C13" s="113">
        <v>4</v>
      </c>
      <c r="D13" s="113">
        <v>2</v>
      </c>
      <c r="E13" s="113">
        <v>1</v>
      </c>
      <c r="F13" s="113">
        <v>22</v>
      </c>
      <c r="G13" s="113">
        <v>1</v>
      </c>
      <c r="H13" s="8">
        <v>3</v>
      </c>
      <c r="I13" s="7"/>
      <c r="J13" s="113"/>
      <c r="K13" s="113"/>
      <c r="L13" s="113"/>
      <c r="M13" s="113"/>
      <c r="N13" s="113"/>
      <c r="O13" s="8">
        <f>SUM(Table6[[#This Row],[BC]:[YT]])</f>
        <v>35</v>
      </c>
    </row>
    <row r="14" spans="1:15" ht="13.8" x14ac:dyDescent="0.25">
      <c r="A14" s="8" t="s">
        <v>62</v>
      </c>
      <c r="B14" s="7"/>
      <c r="C14" s="113"/>
      <c r="D14" s="113"/>
      <c r="E14" s="113"/>
      <c r="F14" s="113"/>
      <c r="G14" s="113">
        <v>3</v>
      </c>
      <c r="H14" s="8"/>
      <c r="I14" s="7"/>
      <c r="J14" s="113"/>
      <c r="K14" s="113"/>
      <c r="L14" s="113"/>
      <c r="M14" s="113"/>
      <c r="N14" s="113"/>
      <c r="O14" s="8">
        <f>SUM(Table6[[#This Row],[BC]:[YT]])</f>
        <v>3</v>
      </c>
    </row>
    <row r="15" spans="1:15" ht="13.8" x14ac:dyDescent="0.25">
      <c r="A15" s="8" t="s">
        <v>68</v>
      </c>
      <c r="B15" s="7"/>
      <c r="C15" s="127"/>
      <c r="D15" s="127"/>
      <c r="E15" s="127"/>
      <c r="F15" s="113"/>
      <c r="G15" s="127"/>
      <c r="H15" s="8"/>
      <c r="I15" s="7">
        <v>1</v>
      </c>
      <c r="J15" s="127">
        <v>2</v>
      </c>
      <c r="K15" s="127">
        <v>2</v>
      </c>
      <c r="L15" s="127"/>
      <c r="M15" s="113"/>
      <c r="N15" s="127"/>
      <c r="O15" s="8">
        <f>SUM(Table6[[#This Row],[BC]:[YT]])</f>
        <v>5</v>
      </c>
    </row>
    <row r="16" spans="1:15" ht="13.8" x14ac:dyDescent="0.25">
      <c r="A16" s="8" t="s">
        <v>63</v>
      </c>
      <c r="B16" s="7"/>
      <c r="C16" s="113"/>
      <c r="D16" s="113"/>
      <c r="E16" s="113"/>
      <c r="F16" s="113">
        <v>1</v>
      </c>
      <c r="G16" s="113"/>
      <c r="H16" s="8"/>
      <c r="I16" s="7"/>
      <c r="J16" s="113"/>
      <c r="K16" s="113"/>
      <c r="L16" s="113"/>
      <c r="M16" s="113"/>
      <c r="N16" s="113"/>
      <c r="O16" s="8">
        <f>SUM(Table6[[#This Row],[BC]:[YT]])</f>
        <v>1</v>
      </c>
    </row>
    <row r="17" spans="1:15" ht="13.8" x14ac:dyDescent="0.25">
      <c r="A17" s="8" t="s">
        <v>67</v>
      </c>
      <c r="B17" s="7"/>
      <c r="C17" s="113"/>
      <c r="D17" s="113"/>
      <c r="E17" s="113"/>
      <c r="F17" s="113">
        <v>7</v>
      </c>
      <c r="G17" s="113"/>
      <c r="H17" s="8"/>
      <c r="I17" s="7"/>
      <c r="J17" s="113"/>
      <c r="K17" s="113"/>
      <c r="L17" s="113"/>
      <c r="M17" s="113"/>
      <c r="N17" s="113"/>
      <c r="O17" s="8">
        <f>SUM(Table6[[#This Row],[BC]:[YT]])</f>
        <v>7</v>
      </c>
    </row>
    <row r="18" spans="1:15" ht="13.8" x14ac:dyDescent="0.25">
      <c r="A18" s="8" t="s">
        <v>46</v>
      </c>
      <c r="B18" s="7"/>
      <c r="C18" s="113"/>
      <c r="D18" s="113">
        <v>1</v>
      </c>
      <c r="E18" s="113"/>
      <c r="F18" s="113"/>
      <c r="G18" s="113">
        <v>1</v>
      </c>
      <c r="H18" s="8">
        <v>1</v>
      </c>
      <c r="I18" s="7"/>
      <c r="J18" s="113"/>
      <c r="K18" s="113"/>
      <c r="L18" s="113"/>
      <c r="M18" s="113"/>
      <c r="N18" s="113"/>
      <c r="O18" s="8">
        <f>SUM(Table6[[#This Row],[BC]:[YT]])</f>
        <v>3</v>
      </c>
    </row>
    <row r="19" spans="1:15" ht="13.8" x14ac:dyDescent="0.25">
      <c r="A19" s="8" t="s">
        <v>14</v>
      </c>
      <c r="B19" s="7">
        <f>SUBTOTAL(109,Table6[BC])</f>
        <v>5</v>
      </c>
      <c r="C19" s="7">
        <f>SUBTOTAL(109,Table6[AB])</f>
        <v>7</v>
      </c>
      <c r="D19" s="40">
        <f>SUBTOTAL(109,Table6[SK])</f>
        <v>3</v>
      </c>
      <c r="E19" s="40">
        <f>SUBTOTAL(109,Table6[MB])</f>
        <v>3</v>
      </c>
      <c r="F19" s="40">
        <f>SUBTOTAL(109,Table6[ON])</f>
        <v>32</v>
      </c>
      <c r="G19" s="40">
        <f>SUBTOTAL(109,Table6[QC])</f>
        <v>12</v>
      </c>
      <c r="H19" s="8">
        <f>SUBTOTAL(109,Table6[NB])</f>
        <v>4</v>
      </c>
      <c r="I19" s="7">
        <f>SUBTOTAL(109,Table6[NL])</f>
        <v>1</v>
      </c>
      <c r="J19" s="7">
        <f>SUBTOTAL(109,Table6[NS])</f>
        <v>2</v>
      </c>
      <c r="K19" s="40">
        <f>SUBTOTAL(109,Table6[PE])</f>
        <v>2</v>
      </c>
      <c r="L19" s="40">
        <f>SUBTOTAL(109,Table6[NT])</f>
        <v>0</v>
      </c>
      <c r="M19" s="40">
        <f>SUBTOTAL(109,Table6[NU])</f>
        <v>0</v>
      </c>
      <c r="N19" s="40">
        <f>SUBTOTAL(109,Table6[YT])</f>
        <v>0</v>
      </c>
      <c r="O19" s="8">
        <f>SUBTOTAL(109,Table6[Total])</f>
        <v>71</v>
      </c>
    </row>
    <row r="21" spans="1:15" x14ac:dyDescent="0.25">
      <c r="A21" s="5" t="s">
        <v>121</v>
      </c>
    </row>
  </sheetData>
  <printOptions horizontalCentered="1"/>
  <pageMargins left="0.25" right="0.25" top="0.75" bottom="0.5" header="0.3" footer="0.3"/>
  <pageSetup scale="70" orientation="landscape" r:id="rId1"/>
  <headerFooter scaleWithDoc="0">
    <oddHeader>&amp;C&amp;"Arial,Bold"&amp;14Snapshot 2022 Canada's Newspaper Industry</oddHeader>
    <oddFooter>&amp;LNews Media Canada&amp;C&amp;P&amp;RJuly 2022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Total Industry Overview</vt:lpstr>
      <vt:lpstr>Community Circulation Overview</vt:lpstr>
      <vt:lpstr>Community Ownership</vt:lpstr>
      <vt:lpstr>Community Publishing Info</vt:lpstr>
      <vt:lpstr>Community Ownership by Province</vt:lpstr>
      <vt:lpstr>Community Websites</vt:lpstr>
      <vt:lpstr>Daily Circulation Overview</vt:lpstr>
      <vt:lpstr>Daily Ownership - Titles</vt:lpstr>
      <vt:lpstr>Ownership - Titles by Prov</vt:lpstr>
      <vt:lpstr>Publishing Info</vt:lpstr>
      <vt:lpstr>Count of Websites by Prov</vt:lpstr>
      <vt:lpstr>'Daily Circulation Overview'!Print_Area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</dc:creator>
  <cp:lastModifiedBy>Kelly Levson</cp:lastModifiedBy>
  <cp:lastPrinted>2023-02-01T23:11:28Z</cp:lastPrinted>
  <dcterms:created xsi:type="dcterms:W3CDTF">2018-06-29T18:29:28Z</dcterms:created>
  <dcterms:modified xsi:type="dcterms:W3CDTF">2023-04-05T13:55:21Z</dcterms:modified>
</cp:coreProperties>
</file>